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840" activeTab="0"/>
  </bookViews>
  <sheets>
    <sheet name="Feb 13(1)" sheetId="1" r:id="rId1"/>
    <sheet name="Feb 13(2)" sheetId="2" r:id="rId2"/>
    <sheet name="Feb 13(3)" sheetId="3" r:id="rId3"/>
    <sheet name="Feb 13 (4&amp;5)" sheetId="4" r:id="rId4"/>
    <sheet name="Feb 13(6)" sheetId="5" r:id="rId5"/>
    <sheet name="Feb 13(7)" sheetId="6" r:id="rId6"/>
    <sheet name="Dec 09 (7)" sheetId="7" state="hidden" r:id="rId7"/>
    <sheet name="WL (8&amp;9)" sheetId="8" r:id="rId8"/>
    <sheet name="WLL (10&amp;11)" sheetId="9" r:id="rId9"/>
    <sheet name="Mobile (12&amp;13)" sheetId="10" r:id="rId10"/>
    <sheet name="Total (14&amp;15)" sheetId="11" r:id="rId11"/>
    <sheet name="TD-WD" sheetId="12" state="hidden" r:id="rId12"/>
    <sheet name="WD-CD" sheetId="13" state="hidden" r:id="rId13"/>
    <sheet name="BB-INTER" sheetId="14" state="hidden" r:id="rId14"/>
    <sheet name="Sheet1" sheetId="15" state="hidden" r:id="rId15"/>
    <sheet name="Sheet2" sheetId="16" state="hidden" r:id="rId16"/>
    <sheet name="Sheet3" sheetId="17" state="hidden" r:id="rId17"/>
    <sheet name="Sheet4" sheetId="18" state="hidden" r:id="rId18"/>
  </sheets>
  <externalReferences>
    <externalReference r:id="rId21"/>
  </externalReferences>
  <definedNames>
    <definedName name="_xlnm.Print_Area" localSheetId="13">'BB-INTER'!$A$11:$M$49</definedName>
    <definedName name="_xlnm.Print_Area" localSheetId="6">'Dec 09 (7)'!$A$1:$P$38</definedName>
    <definedName name="_xlnm.Print_Area" localSheetId="3">'Feb 13 (4&amp;5)'!$A$1:$AU$37</definedName>
    <definedName name="_xlnm.Print_Area" localSheetId="0">'Feb 13(1)'!$A$1:$Z$35</definedName>
    <definedName name="_xlnm.Print_Area" localSheetId="1">'Feb 13(2)'!$A$1:$AL$36</definedName>
    <definedName name="_xlnm.Print_Area" localSheetId="2">'Feb 13(3)'!$A$1:$Z$35</definedName>
    <definedName name="_xlnm.Print_Area" localSheetId="4">'Feb 13(6)'!$A$1:$AC$36</definedName>
    <definedName name="_xlnm.Print_Area" localSheetId="5">'Feb 13(7)'!$A$1:$Z$37</definedName>
    <definedName name="_xlnm.Print_Area" localSheetId="9">'Mobile (12&amp;13)'!$A$1:$O$94</definedName>
    <definedName name="_xlnm.Print_Area" localSheetId="11">'TD-WD'!$A$10:$M$48</definedName>
    <definedName name="_xlnm.Print_Area" localSheetId="12">'WD-CD'!$A$10:$M$48</definedName>
    <definedName name="_xlnm.Print_Area" localSheetId="7">'WL (8&amp;9)'!$A$1:$O$93</definedName>
    <definedName name="_xlnm.Print_Area" localSheetId="8">'WLL (10&amp;11)'!$A$1:$O$93</definedName>
    <definedName name="_xlnm.Print_Titles" localSheetId="3">'Feb 13 (4&amp;5)'!$A:$B</definedName>
    <definedName name="_xlnm.Print_Titles" localSheetId="0">'Feb 13(1)'!$A:$B</definedName>
    <definedName name="_xlnm.Print_Titles" localSheetId="1">'Feb 13(2)'!$A:$B</definedName>
    <definedName name="_xlnm.Print_Titles" localSheetId="2">'Feb 13(3)'!$A:$B</definedName>
    <definedName name="_xlnm.Print_Titles" localSheetId="4">'Feb 13(6)'!$A:$B</definedName>
    <definedName name="_xlnm.Print_Titles" localSheetId="5">'Feb 13(7)'!$A:$B</definedName>
    <definedName name="_xlnm.Print_Titles" localSheetId="9">'Mobile (12&amp;13)'!$3:$5</definedName>
    <definedName name="_xlnm.Print_Titles" localSheetId="10">'Total (14&amp;15)'!$3:$5</definedName>
    <definedName name="_xlnm.Print_Titles" localSheetId="7">'WL (8&amp;9)'!$2:$4</definedName>
    <definedName name="_xlnm.Print_Titles" localSheetId="8">'WLL (10&amp;11)'!$2:$4</definedName>
  </definedNames>
  <calcPr fullCalcOnLoad="1"/>
</workbook>
</file>

<file path=xl/comments6.xml><?xml version="1.0" encoding="utf-8"?>
<comments xmlns="http://schemas.openxmlformats.org/spreadsheetml/2006/main">
  <authors>
    <author>clkoul</author>
  </authors>
  <commentList>
    <comment ref="AB2" authorId="0">
      <text>
        <r>
          <rPr>
            <b/>
            <sz val="9"/>
            <rFont val="Tahoma"/>
            <family val="2"/>
          </rPr>
          <t>clkoul: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<sst xmlns="http://schemas.openxmlformats.org/spreadsheetml/2006/main" count="1160" uniqueCount="220">
  <si>
    <t>During the Month</t>
  </si>
  <si>
    <t>Cell Phones</t>
  </si>
  <si>
    <t>Total</t>
  </si>
  <si>
    <t>Assam</t>
  </si>
  <si>
    <t xml:space="preserve"> </t>
  </si>
  <si>
    <t>Chhattisgarh</t>
  </si>
  <si>
    <t>Jharkhand</t>
  </si>
  <si>
    <t>UP (E)</t>
  </si>
  <si>
    <t>UP(W)</t>
  </si>
  <si>
    <t>Kolkata</t>
  </si>
  <si>
    <t>Chennai</t>
  </si>
  <si>
    <t>BSNL</t>
  </si>
  <si>
    <t>NE-II</t>
  </si>
  <si>
    <t>NE-I</t>
  </si>
  <si>
    <t>During the month</t>
  </si>
  <si>
    <t>28)   CMD, BSNL</t>
  </si>
  <si>
    <t>To</t>
  </si>
  <si>
    <t>Name of Circles/ Metro Districts</t>
  </si>
  <si>
    <t>S. No.</t>
  </si>
  <si>
    <t>1) to 26) All CGMs Telecom Circle/ Metro District, BSNL</t>
  </si>
  <si>
    <t xml:space="preserve"> WLL    (F &amp; M)</t>
  </si>
  <si>
    <t xml:space="preserve"> WLL       (F &amp; M)</t>
  </si>
  <si>
    <t xml:space="preserve"> WLL   (F &amp; M)</t>
  </si>
  <si>
    <t xml:space="preserve"> WLL (F &amp; M)</t>
  </si>
  <si>
    <t xml:space="preserve">Net Achievements In Equipped Capacity (Tentative) </t>
  </si>
  <si>
    <t xml:space="preserve">Net Achievements In DELs </t>
  </si>
  <si>
    <t>Wiredline Phones</t>
  </si>
  <si>
    <t xml:space="preserve">Surrender of DELs during the month </t>
  </si>
  <si>
    <t>Surrender of DELs includes Disconnection due to nonpayment</t>
  </si>
  <si>
    <t>Note: 1. # Figures are as per MIS report, 2. Bold = Good Performance.</t>
  </si>
  <si>
    <t>Copy To : - 27)  O/c</t>
  </si>
  <si>
    <t>Bihar</t>
  </si>
  <si>
    <t>Gujarat</t>
  </si>
  <si>
    <t>J &amp; K</t>
  </si>
  <si>
    <t>Karnatak</t>
  </si>
  <si>
    <t>Kerala</t>
  </si>
  <si>
    <t>Maharashtra</t>
  </si>
  <si>
    <t xml:space="preserve">Punjab </t>
  </si>
  <si>
    <t>Proportionate Target</t>
  </si>
  <si>
    <t>A &amp; N</t>
  </si>
  <si>
    <t>W. Bengal</t>
  </si>
  <si>
    <t>Month</t>
  </si>
  <si>
    <t xml:space="preserve">Proportionate Targets for </t>
  </si>
  <si>
    <t>DELs &amp; Equipped Capacity</t>
  </si>
  <si>
    <t>Clearance of Waiting List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</si>
  <si>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</si>
  <si>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</si>
  <si>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</si>
  <si>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</si>
  <si>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</si>
  <si>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</si>
  <si>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</si>
  <si>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</si>
  <si>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</si>
  <si>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</si>
  <si>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</si>
  <si>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</t>
  </si>
  <si>
    <t>Cumulative</t>
  </si>
  <si>
    <t>29) to 33)  Dir (Plg &amp; NS),  Dir (Opn.), Dir (C&amp;M), Dir (HRD), Dir (F) BSNL</t>
  </si>
  <si>
    <t xml:space="preserve">34) &amp; 35)   Sr. DDG (LTP) BSNL, CS &amp; GM (Legal) </t>
  </si>
  <si>
    <t>2. Bold = Good Performance.</t>
  </si>
  <si>
    <t>Equipment in hand for commisioning at the end of current month</t>
  </si>
  <si>
    <t>Pending order for Equipment at the end of current month</t>
  </si>
  <si>
    <t>No. of months</t>
  </si>
  <si>
    <t>FWT</t>
  </si>
  <si>
    <t>Andhra Prad</t>
  </si>
  <si>
    <t>Haryana</t>
  </si>
  <si>
    <t>Himachal Pr</t>
  </si>
  <si>
    <t>Madhya Pr.</t>
  </si>
  <si>
    <t>Orissa</t>
  </si>
  <si>
    <t>Rajasthan</t>
  </si>
  <si>
    <t>Tamilnadu</t>
  </si>
  <si>
    <t>Uttranchal</t>
  </si>
  <si>
    <t xml:space="preserve">Note: 1. # Figures are as per MIS report, </t>
  </si>
  <si>
    <t>Gross Telephone connection provided</t>
  </si>
  <si>
    <t xml:space="preserve">During the month </t>
  </si>
  <si>
    <t>Status at the end of previous month #</t>
  </si>
  <si>
    <t xml:space="preserve">No. of telephone connection Surrender by customer </t>
  </si>
  <si>
    <t>No. of telephone connection disconnected due to Non-Payment</t>
  </si>
  <si>
    <t>Status as on 31.03.2008 #</t>
  </si>
  <si>
    <t>36) to 39) DDG(TX)/ SW/ CMTS/BB</t>
  </si>
  <si>
    <t>Equipment in Hand at the end of current month</t>
  </si>
  <si>
    <t>Pending Equipment order at the end of current month</t>
  </si>
  <si>
    <t>Internet Working Connections</t>
  </si>
  <si>
    <t>Internet Equipped Capacity</t>
  </si>
  <si>
    <t>Net Achievements In Equipped Capacity</t>
  </si>
  <si>
    <t xml:space="preserve">Net Achievements In Connections </t>
  </si>
  <si>
    <t xml:space="preserve">Internet </t>
  </si>
  <si>
    <t xml:space="preserve">Net Achievements In Equipped Capacity </t>
  </si>
  <si>
    <t xml:space="preserve">Net Achievements in Connections </t>
  </si>
  <si>
    <t>Interpreted</t>
  </si>
  <si>
    <t>Target (Internal)</t>
  </si>
  <si>
    <t>Target</t>
  </si>
  <si>
    <t>Cell Phones (MOU-V. Good)</t>
  </si>
  <si>
    <t xml:space="preserve"> WLL(F &amp; M) (MOU-V. Good)</t>
  </si>
  <si>
    <t xml:space="preserve">Status at the end of previous month </t>
  </si>
  <si>
    <t>as per BB Cell</t>
  </si>
  <si>
    <t>Note: 1. # Figures are as per MIS report, 2. Bold = Good Performance</t>
  </si>
  <si>
    <t>Status as on 31.03.2009 #</t>
  </si>
  <si>
    <t>Cumulative since 1.4.2009</t>
  </si>
  <si>
    <t xml:space="preserve">Target </t>
  </si>
  <si>
    <t>(as per BB Cell)</t>
  </si>
  <si>
    <t>.</t>
  </si>
  <si>
    <t>-</t>
  </si>
  <si>
    <t>---</t>
  </si>
  <si>
    <t>Sub: Month wise achievement of DELs during 2009-10</t>
  </si>
  <si>
    <t>Total DELs (In Lakh)</t>
  </si>
  <si>
    <t>Wireline DELs (In Lakh)</t>
  </si>
  <si>
    <t>WLL DELs (In Lakh)</t>
  </si>
  <si>
    <t>Cellular mobile DELs (In Lakh)</t>
  </si>
  <si>
    <t>Note: 1. # Figures are as per MIS report, 2. Bold = Good Performance, 3. Status at the end of previous month.</t>
  </si>
  <si>
    <t>Note: Achievement data upto August 2009 as per MIS</t>
  </si>
  <si>
    <t>Broadband connection (In Lakh)</t>
  </si>
  <si>
    <t>Internet Connection (in Nos)</t>
  </si>
  <si>
    <t>Page-8/10</t>
  </si>
  <si>
    <t>Page-9/10</t>
  </si>
  <si>
    <t>Annexure-9</t>
  </si>
  <si>
    <t>Page-10/10</t>
  </si>
  <si>
    <t>Annexure-10</t>
  </si>
  <si>
    <t>Annexure-8</t>
  </si>
  <si>
    <t>Circle</t>
  </si>
  <si>
    <t>Figures</t>
  </si>
  <si>
    <t>Gross</t>
  </si>
  <si>
    <t>Disconnection</t>
  </si>
  <si>
    <t>Net</t>
  </si>
  <si>
    <t>Himachal Pradesh</t>
  </si>
  <si>
    <t>Karnataka</t>
  </si>
  <si>
    <t>Madhya Pradesh</t>
  </si>
  <si>
    <t>Andhra Pradadesh</t>
  </si>
  <si>
    <t>Note: Achievement data upto September 2009 as per MIS</t>
  </si>
  <si>
    <t>Page 4/15</t>
  </si>
  <si>
    <t>Page 5/15</t>
  </si>
  <si>
    <t>Page 6/15</t>
  </si>
  <si>
    <t>Page 7/15</t>
  </si>
  <si>
    <t>Page 8/15</t>
  </si>
  <si>
    <t>Page 10/15</t>
  </si>
  <si>
    <t>Page 12/15</t>
  </si>
  <si>
    <t>Page 14/15</t>
  </si>
  <si>
    <t>Working Connections</t>
  </si>
  <si>
    <t>Equipped Capacity</t>
  </si>
  <si>
    <t>Wrieless Broadband</t>
  </si>
  <si>
    <t>3-G</t>
  </si>
  <si>
    <t>EVDO</t>
  </si>
  <si>
    <t xml:space="preserve">Working connection as on </t>
  </si>
  <si>
    <t xml:space="preserve">Net Achievements </t>
  </si>
  <si>
    <t>Wired line Phones</t>
  </si>
  <si>
    <t>#</t>
  </si>
  <si>
    <t>Total Broadband (wireline+wireless) achievement</t>
  </si>
  <si>
    <t>Total in Million</t>
  </si>
  <si>
    <t>BSNL Figures      (in Million)</t>
  </si>
  <si>
    <t>Anticipated Ach. during 2009-10</t>
  </si>
  <si>
    <t>Status as on 31.03.2010</t>
  </si>
  <si>
    <t>Status as on 31.03.2009</t>
  </si>
  <si>
    <t>Status as on 31.01.2010</t>
  </si>
  <si>
    <t>2010-11</t>
  </si>
  <si>
    <t>Status at the end of the year</t>
  </si>
  <si>
    <t>2011-12</t>
  </si>
  <si>
    <t>Target during the year</t>
  </si>
  <si>
    <t>Telephone Connection</t>
  </si>
  <si>
    <t>Broadband Connection</t>
  </si>
  <si>
    <t>WLL</t>
  </si>
  <si>
    <t>CMTS</t>
  </si>
  <si>
    <t>Status at the end of current month i.e. 28.02.2010</t>
  </si>
  <si>
    <t>Sub: Status of achievement in Equipped Capacity &amp; working Connections of  Internet as on 28.02.2010</t>
  </si>
  <si>
    <t>WiMax</t>
  </si>
  <si>
    <t>(MIS)</t>
  </si>
  <si>
    <t>Targets for equipped Capacity during 2010-11</t>
  </si>
  <si>
    <t>Cumulative since 1.4.2011</t>
  </si>
  <si>
    <t>Status as on 31.03.2011 #</t>
  </si>
  <si>
    <t>Status as on 30.04.2011 (as per BB Cell)</t>
  </si>
  <si>
    <t>%age loading as on 30.04.11</t>
  </si>
  <si>
    <t>DSL</t>
  </si>
  <si>
    <t>FTTH</t>
  </si>
  <si>
    <t xml:space="preserve">4. 3G Facility has given to all 2G connections </t>
  </si>
  <si>
    <t xml:space="preserve">No.1-2(1)/2012-CP&amp;M-LTP    </t>
  </si>
  <si>
    <t>Status of DELs as on 31.03.2012#</t>
  </si>
  <si>
    <t>Target for DELs during 2012-13</t>
  </si>
  <si>
    <t>Cumulative since 1.4.2012</t>
  </si>
  <si>
    <t>Cumulative Surrender of DELs since 1.4.2012</t>
  </si>
  <si>
    <t>Cumulative  since 1.4.2012</t>
  </si>
  <si>
    <t>Status of Waiting list as on 31.03.2012#</t>
  </si>
  <si>
    <t>Pending W. L. registered prior to 31.03.12 at the end of current month</t>
  </si>
  <si>
    <t>Reduction in Waiting list prior to 31/3/2012</t>
  </si>
  <si>
    <t>Cumulative since 01.04.2012</t>
  </si>
  <si>
    <t>Pending W.L. registered prior to 31.03.12 at the end of previous month</t>
  </si>
  <si>
    <t>Percentage Increase in loading during 2012-13</t>
  </si>
  <si>
    <t>Percentage loading as on 31.03.2012</t>
  </si>
  <si>
    <t>Cumulative since 1.4.12</t>
  </si>
  <si>
    <t>Target for 2012-13 (Internal)</t>
  </si>
  <si>
    <t>31.03.2012</t>
  </si>
  <si>
    <t>Sub: Monthwise Gross, Disconnection and Net Wireline connections from April'12</t>
  </si>
  <si>
    <t>Sub: Monthwise Gross, Disconnection and Net WLL connections from April'2012</t>
  </si>
  <si>
    <t>Sub: Monthwise Gross, Disconnection and Net Mobile connections from April'2012</t>
  </si>
  <si>
    <t>Sub: Monthwise Gross, Disconnection and Net Total telephone connections from April'2012</t>
  </si>
  <si>
    <t>Status of Equipped Capacity as on 31.03.2012#</t>
  </si>
  <si>
    <t>Equipped Capacity at the end of previous month#</t>
  </si>
  <si>
    <t>% Surrender/ disconnection of Telephones during 2009-10 till the end of current Month w.r.t DELs as on 31/3/12</t>
  </si>
  <si>
    <t>Page 1/15</t>
  </si>
  <si>
    <t>Page 2/15</t>
  </si>
  <si>
    <t>Page 3/15</t>
  </si>
  <si>
    <t>Status as on 31.03.2012</t>
  </si>
  <si>
    <t>Status as on  (Privious month)</t>
  </si>
  <si>
    <t>Previous month</t>
  </si>
  <si>
    <t>Status of DELs at the end of previous month#</t>
  </si>
  <si>
    <t>Sub: Monthly Report on Surrender of DELs &amp; Gross Connection provided as on 28.02.2013</t>
  </si>
  <si>
    <t>Cumulative Surrender  by customer of DELs since 1.4.2012(upto 28.02.13)</t>
  </si>
  <si>
    <t>Cumulative disconnected due to Non-Payment of DELs since 1.4.2012(upto 28.02.13)</t>
  </si>
  <si>
    <t>Cumulative Surrender/  disconnected  of DELs since 1.4.2012(upto 28.02.13)</t>
  </si>
  <si>
    <t>Sub: Monthly Report on Status, Target and Achievement in DELs (Net) as on 28.02.2013</t>
  </si>
  <si>
    <t>Status of DELs as on 28.02.2013#</t>
  </si>
  <si>
    <t>Sub: Monthly Report on Waiting List and Reduction in waiting list as on 28.02.2013</t>
  </si>
  <si>
    <t>Status of Waiting list as on 28.02.2013#</t>
  </si>
  <si>
    <t>Sub: Monthly Report on Status and Achievement in Equipped Capacity as on 28.02.13</t>
  </si>
  <si>
    <t>Equipped Capacity at the end of current month i.e. 28.02.13#</t>
  </si>
  <si>
    <t>Percentage loading as on 28.02.2013</t>
  </si>
  <si>
    <t>Sub: Status of achievement in Equipped Capacity &amp; working Connections of Wireline Broadband as on 28.02.2013</t>
  </si>
  <si>
    <t>Status as on 28.02.2013</t>
  </si>
  <si>
    <t>Total (Wireline + Wireless) Broadnand conection as on 28.02.2013</t>
  </si>
  <si>
    <t>Sub: Status of achievement in  working Connections of Wireless Broadband as on 28.02.2013</t>
  </si>
  <si>
    <t>28.02.2013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</si>
</sst>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0.0000000"/>
    <numFmt numFmtId="189" formatCode="0.00000000"/>
    <numFmt numFmtId="190" formatCode="0.000000"/>
    <numFmt numFmtId="191" formatCode="0.00000"/>
    <numFmt numFmtId="192" formatCode="0.0000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%"/>
    <numFmt numFmtId="199" formatCode="#,##0.00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1">
    <xf numFmtId="0" fontId="0" fillId="0" borderId="0" xfId="0" applyAlignment="1">
      <alignment/>
    </xf>
    <xf numFmtId="0" fontId="1" fillId="24" borderId="0" xfId="15" applyFont="1" applyFill="1" applyAlignment="1" applyProtection="1">
      <alignment horizontal="center" vertical="center"/>
      <protection/>
    </xf>
    <xf numFmtId="0" fontId="0" fillId="24" borderId="0" xfId="15" applyFont="1" applyFill="1" applyAlignment="1" applyProtection="1">
      <alignment horizontal="center" vertical="center"/>
      <protection locked="0"/>
    </xf>
    <xf numFmtId="0" fontId="1" fillId="24" borderId="0" xfId="15" applyFont="1" applyFill="1" applyAlignment="1" applyProtection="1">
      <alignment horizontal="center" vertical="center"/>
      <protection locked="0"/>
    </xf>
    <xf numFmtId="0" fontId="2" fillId="24" borderId="0" xfId="15" applyFont="1" applyFill="1" applyAlignment="1" applyProtection="1">
      <alignment horizontal="center" vertical="center"/>
      <protection locked="0"/>
    </xf>
    <xf numFmtId="0" fontId="2" fillId="24" borderId="0" xfId="15" applyFont="1" applyFill="1" applyAlignment="1" applyProtection="1">
      <alignment horizontal="center" vertical="center"/>
      <protection/>
    </xf>
    <xf numFmtId="0" fontId="1" fillId="24" borderId="0" xfId="15" applyFont="1" applyFill="1" applyBorder="1" applyAlignment="1" applyProtection="1">
      <alignment horizontal="center" vertical="center"/>
      <protection locked="0"/>
    </xf>
    <xf numFmtId="1" fontId="2" fillId="24" borderId="0" xfId="15" applyNumberFormat="1" applyFont="1" applyFill="1" applyBorder="1" applyAlignment="1" applyProtection="1">
      <alignment horizontal="center" vertical="center"/>
      <protection locked="0"/>
    </xf>
    <xf numFmtId="0" fontId="2" fillId="24" borderId="0" xfId="15" applyFont="1" applyFill="1" applyBorder="1" applyAlignment="1" applyProtection="1">
      <alignment horizontal="center" vertical="center"/>
      <protection locked="0"/>
    </xf>
    <xf numFmtId="1" fontId="5" fillId="24" borderId="0" xfId="15" applyNumberFormat="1" applyFont="1" applyFill="1" applyBorder="1" applyAlignment="1" applyProtection="1">
      <alignment horizontal="center" vertical="center"/>
      <protection locked="0"/>
    </xf>
    <xf numFmtId="0" fontId="6" fillId="24" borderId="0" xfId="15" applyFont="1" applyFill="1" applyAlignment="1" applyProtection="1">
      <alignment horizontal="center" vertical="center"/>
      <protection/>
    </xf>
    <xf numFmtId="0" fontId="8" fillId="24" borderId="0" xfId="15" applyFont="1" applyFill="1" applyBorder="1" applyAlignment="1" applyProtection="1">
      <alignment horizontal="center" vertical="center"/>
      <protection locked="0"/>
    </xf>
    <xf numFmtId="0" fontId="3" fillId="24" borderId="10" xfId="15" applyFont="1" applyFill="1" applyBorder="1" applyAlignment="1" applyProtection="1">
      <alignment horizontal="center" vertical="center" wrapText="1"/>
      <protection/>
    </xf>
    <xf numFmtId="0" fontId="3" fillId="24" borderId="0" xfId="15" applyFont="1" applyFill="1" applyAlignment="1" applyProtection="1">
      <alignment vertical="center"/>
      <protection/>
    </xf>
    <xf numFmtId="0" fontId="4" fillId="24" borderId="0" xfId="15" applyFont="1" applyFill="1" applyBorder="1" applyAlignment="1" applyProtection="1">
      <alignment horizontal="center" vertical="center"/>
      <protection/>
    </xf>
    <xf numFmtId="3" fontId="4" fillId="24" borderId="0" xfId="15" applyNumberFormat="1" applyFont="1" applyFill="1" applyBorder="1" applyAlignment="1" applyProtection="1">
      <alignment horizontal="center" vertical="center"/>
      <protection/>
    </xf>
    <xf numFmtId="0" fontId="1" fillId="24" borderId="0" xfId="15" applyFont="1" applyFill="1" applyAlignment="1" applyProtection="1">
      <alignment vertical="center"/>
      <protection/>
    </xf>
    <xf numFmtId="0" fontId="1" fillId="24" borderId="0" xfId="15" applyFont="1" applyFill="1" applyAlignment="1" applyProtection="1">
      <alignment horizontal="left" vertical="center"/>
      <protection/>
    </xf>
    <xf numFmtId="0" fontId="2" fillId="24" borderId="0" xfId="15" applyFont="1" applyFill="1" applyAlignment="1" applyProtection="1">
      <alignment horizontal="left" vertical="center"/>
      <protection/>
    </xf>
    <xf numFmtId="0" fontId="2" fillId="24" borderId="0" xfId="15" applyFont="1" applyFill="1" applyAlignment="1" applyProtection="1">
      <alignment vertical="center"/>
      <protection/>
    </xf>
    <xf numFmtId="0" fontId="7" fillId="24" borderId="10" xfId="15" applyFont="1" applyFill="1" applyBorder="1" applyAlignment="1" applyProtection="1">
      <alignment horizontal="center" vertical="center"/>
      <protection/>
    </xf>
    <xf numFmtId="0" fontId="8" fillId="24" borderId="0" xfId="15" applyFont="1" applyFill="1" applyAlignment="1" applyProtection="1">
      <alignment horizontal="left" vertical="center"/>
      <protection/>
    </xf>
    <xf numFmtId="0" fontId="9" fillId="24" borderId="0" xfId="15" applyFont="1" applyFill="1" applyAlignment="1" applyProtection="1">
      <alignment horizontal="center" vertical="center"/>
      <protection/>
    </xf>
    <xf numFmtId="0" fontId="8" fillId="24" borderId="0" xfId="15" applyFont="1" applyFill="1" applyAlignment="1" applyProtection="1">
      <alignment vertical="center"/>
      <protection/>
    </xf>
    <xf numFmtId="0" fontId="13" fillId="24" borderId="11" xfId="15" applyFont="1" applyFill="1" applyBorder="1" applyAlignment="1" applyProtection="1">
      <alignment horizontal="center" vertical="center"/>
      <protection/>
    </xf>
    <xf numFmtId="0" fontId="13" fillId="24" borderId="11" xfId="15" applyFont="1" applyFill="1" applyBorder="1" applyAlignment="1" applyProtection="1">
      <alignment horizontal="left" vertical="center"/>
      <protection/>
    </xf>
    <xf numFmtId="3" fontId="13" fillId="24" borderId="11" xfId="15" applyNumberFormat="1" applyFont="1" applyFill="1" applyBorder="1" applyAlignment="1" applyProtection="1">
      <alignment horizontal="center" vertical="center"/>
      <protection/>
    </xf>
    <xf numFmtId="0" fontId="13" fillId="24" borderId="12" xfId="15" applyFont="1" applyFill="1" applyBorder="1" applyAlignment="1" applyProtection="1">
      <alignment horizontal="center" vertical="center"/>
      <protection/>
    </xf>
    <xf numFmtId="0" fontId="13" fillId="24" borderId="12" xfId="15" applyFont="1" applyFill="1" applyBorder="1" applyAlignment="1" applyProtection="1">
      <alignment horizontal="left" vertical="center"/>
      <protection/>
    </xf>
    <xf numFmtId="3" fontId="13" fillId="24" borderId="12" xfId="15" applyNumberFormat="1" applyFont="1" applyFill="1" applyBorder="1" applyAlignment="1" applyProtection="1">
      <alignment horizontal="center" vertical="center"/>
      <protection/>
    </xf>
    <xf numFmtId="0" fontId="13" fillId="24" borderId="13" xfId="15" applyFont="1" applyFill="1" applyBorder="1" applyAlignment="1" applyProtection="1">
      <alignment horizontal="center" vertical="center"/>
      <protection/>
    </xf>
    <xf numFmtId="0" fontId="13" fillId="24" borderId="13" xfId="15" applyFont="1" applyFill="1" applyBorder="1" applyAlignment="1" applyProtection="1">
      <alignment horizontal="left" vertical="center"/>
      <protection/>
    </xf>
    <xf numFmtId="3" fontId="13" fillId="24" borderId="13" xfId="15" applyNumberFormat="1" applyFont="1" applyFill="1" applyBorder="1" applyAlignment="1" applyProtection="1">
      <alignment horizontal="center" vertical="center"/>
      <protection/>
    </xf>
    <xf numFmtId="3" fontId="13" fillId="0" borderId="12" xfId="15" applyNumberFormat="1" applyFont="1" applyFill="1" applyBorder="1" applyAlignment="1" applyProtection="1">
      <alignment horizontal="center" vertical="center"/>
      <protection/>
    </xf>
    <xf numFmtId="3" fontId="13" fillId="0" borderId="13" xfId="15" applyNumberFormat="1" applyFont="1" applyFill="1" applyBorder="1" applyAlignment="1" applyProtection="1">
      <alignment horizontal="center" vertical="center"/>
      <protection/>
    </xf>
    <xf numFmtId="3" fontId="13" fillId="0" borderId="11" xfId="15" applyNumberFormat="1" applyFont="1" applyFill="1" applyBorder="1" applyAlignment="1" applyProtection="1">
      <alignment horizontal="center" vertical="center"/>
      <protection/>
    </xf>
    <xf numFmtId="1" fontId="13" fillId="24" borderId="0" xfId="15" applyNumberFormat="1" applyFont="1" applyFill="1" applyBorder="1" applyAlignment="1" applyProtection="1">
      <alignment horizontal="center" vertical="center"/>
      <protection locked="0"/>
    </xf>
    <xf numFmtId="0" fontId="3" fillId="24" borderId="11" xfId="15" applyFont="1" applyFill="1" applyBorder="1" applyAlignment="1" applyProtection="1">
      <alignment horizontal="center" vertical="center" wrapText="1"/>
      <protection/>
    </xf>
    <xf numFmtId="0" fontId="3" fillId="24" borderId="13" xfId="15" applyFont="1" applyFill="1" applyBorder="1" applyAlignment="1" applyProtection="1">
      <alignment horizontal="center" vertical="center" wrapText="1"/>
      <protection/>
    </xf>
    <xf numFmtId="0" fontId="7" fillId="24" borderId="0" xfId="15" applyFont="1" applyFill="1" applyAlignment="1" applyProtection="1">
      <alignment horizontal="center" vertical="center"/>
      <protection/>
    </xf>
    <xf numFmtId="0" fontId="3" fillId="24" borderId="14" xfId="15" applyFont="1" applyFill="1" applyBorder="1" applyAlignment="1" applyProtection="1">
      <alignment horizontal="center" vertical="center"/>
      <protection/>
    </xf>
    <xf numFmtId="0" fontId="7" fillId="24" borderId="0" xfId="15" applyFont="1" applyFill="1" applyAlignment="1" applyProtection="1">
      <alignment horizontal="left" vertical="center"/>
      <protection/>
    </xf>
    <xf numFmtId="0" fontId="2" fillId="24" borderId="10" xfId="15" applyFont="1" applyFill="1" applyBorder="1" applyAlignment="1" applyProtection="1">
      <alignment horizontal="center" vertical="center"/>
      <protection locked="0"/>
    </xf>
    <xf numFmtId="9" fontId="2" fillId="24" borderId="0" xfId="15" applyNumberFormat="1" applyFont="1" applyFill="1" applyAlignment="1" applyProtection="1">
      <alignment horizontal="center" vertical="center"/>
      <protection locked="0"/>
    </xf>
    <xf numFmtId="0" fontId="13" fillId="0" borderId="11" xfId="15" applyFont="1" applyFill="1" applyBorder="1" applyAlignment="1" applyProtection="1">
      <alignment horizontal="left" vertical="center"/>
      <protection/>
    </xf>
    <xf numFmtId="0" fontId="13" fillId="0" borderId="12" xfId="15" applyFont="1" applyFill="1" applyBorder="1" applyAlignment="1" applyProtection="1">
      <alignment horizontal="left" vertical="center"/>
      <protection/>
    </xf>
    <xf numFmtId="0" fontId="13" fillId="0" borderId="13" xfId="15" applyFont="1" applyFill="1" applyBorder="1" applyAlignment="1" applyProtection="1">
      <alignment horizontal="left" vertical="center"/>
      <protection/>
    </xf>
    <xf numFmtId="9" fontId="2" fillId="24" borderId="0" xfId="15" applyNumberFormat="1" applyFont="1" applyFill="1" applyAlignment="1" applyProtection="1">
      <alignment horizontal="center" vertical="center"/>
      <protection/>
    </xf>
    <xf numFmtId="9" fontId="2" fillId="24" borderId="0" xfId="15" applyNumberFormat="1" applyFont="1" applyFill="1" applyBorder="1" applyAlignment="1" applyProtection="1">
      <alignment horizontal="center" vertical="center"/>
      <protection locked="0"/>
    </xf>
    <xf numFmtId="0" fontId="4" fillId="24" borderId="0" xfId="15" applyFont="1" applyFill="1" applyAlignment="1" applyProtection="1">
      <alignment horizontal="left" vertical="center"/>
      <protection/>
    </xf>
    <xf numFmtId="0" fontId="13" fillId="24" borderId="0" xfId="15" applyFont="1" applyFill="1" applyAlignment="1" applyProtection="1">
      <alignment horizontal="center" vertical="center"/>
      <protection locked="0"/>
    </xf>
    <xf numFmtId="0" fontId="13" fillId="24" borderId="0" xfId="15" applyFont="1" applyFill="1" applyBorder="1" applyAlignment="1" applyProtection="1">
      <alignment horizontal="center" vertical="center"/>
      <protection locked="0"/>
    </xf>
    <xf numFmtId="1" fontId="13" fillId="24" borderId="0" xfId="15" applyNumberFormat="1" applyFont="1" applyFill="1" applyBorder="1" applyAlignment="1" applyProtection="1">
      <alignment horizontal="center" vertical="center"/>
      <protection/>
    </xf>
    <xf numFmtId="1" fontId="13" fillId="24" borderId="0" xfId="15" applyNumberFormat="1" applyFont="1" applyFill="1" applyAlignment="1" applyProtection="1">
      <alignment horizontal="center" vertical="center"/>
      <protection/>
    </xf>
    <xf numFmtId="1" fontId="13" fillId="24" borderId="0" xfId="15" applyNumberFormat="1" applyFont="1" applyFill="1" applyAlignment="1" applyProtection="1">
      <alignment horizontal="center" vertical="center"/>
      <protection locked="0"/>
    </xf>
    <xf numFmtId="0" fontId="13" fillId="24" borderId="0" xfId="15" applyFont="1" applyFill="1" applyAlignment="1" applyProtection="1">
      <alignment horizontal="center" vertical="center"/>
      <protection/>
    </xf>
    <xf numFmtId="9" fontId="13" fillId="24" borderId="0" xfId="15" applyNumberFormat="1" applyFont="1" applyFill="1" applyAlignment="1" applyProtection="1">
      <alignment horizontal="center" vertical="center"/>
      <protection/>
    </xf>
    <xf numFmtId="9" fontId="13" fillId="24" borderId="0" xfId="15" applyNumberFormat="1" applyFont="1" applyFill="1" applyAlignment="1" applyProtection="1">
      <alignment horizontal="center" vertical="center"/>
      <protection locked="0"/>
    </xf>
    <xf numFmtId="1" fontId="4" fillId="24" borderId="0" xfId="15" applyNumberFormat="1" applyFont="1" applyFill="1" applyAlignment="1" applyProtection="1">
      <alignment horizontal="center" vertical="center"/>
      <protection/>
    </xf>
    <xf numFmtId="0" fontId="13" fillId="0" borderId="11" xfId="15" applyFont="1" applyFill="1" applyBorder="1" applyAlignment="1" applyProtection="1">
      <alignment horizontal="center" vertical="center"/>
      <protection/>
    </xf>
    <xf numFmtId="0" fontId="13" fillId="0" borderId="12" xfId="15" applyFont="1" applyFill="1" applyBorder="1" applyAlignment="1" applyProtection="1">
      <alignment horizontal="center" vertical="center"/>
      <protection/>
    </xf>
    <xf numFmtId="0" fontId="13" fillId="0" borderId="13" xfId="15" applyFont="1" applyFill="1" applyBorder="1" applyAlignment="1" applyProtection="1">
      <alignment horizontal="center" vertical="center"/>
      <protection/>
    </xf>
    <xf numFmtId="187" fontId="13" fillId="24" borderId="0" xfId="15" applyNumberFormat="1" applyFont="1" applyFill="1" applyAlignment="1" applyProtection="1">
      <alignment horizontal="center" vertical="center"/>
      <protection/>
    </xf>
    <xf numFmtId="187" fontId="13" fillId="24" borderId="0" xfId="15" applyNumberFormat="1" applyFont="1" applyFill="1" applyAlignment="1" applyProtection="1">
      <alignment horizontal="center" vertical="center"/>
      <protection locked="0"/>
    </xf>
    <xf numFmtId="9" fontId="13" fillId="24" borderId="0" xfId="15" applyNumberFormat="1" applyFont="1" applyFill="1" applyBorder="1" applyAlignment="1" applyProtection="1">
      <alignment horizontal="center" vertical="center"/>
      <protection locked="0"/>
    </xf>
    <xf numFmtId="1" fontId="14" fillId="24" borderId="0" xfId="15" applyNumberFormat="1" applyFont="1" applyFill="1" applyAlignment="1" applyProtection="1">
      <alignment horizontal="center" vertical="center"/>
      <protection/>
    </xf>
    <xf numFmtId="3" fontId="13" fillId="24" borderId="12" xfId="0" applyNumberFormat="1" applyFont="1" applyFill="1" applyBorder="1" applyAlignment="1">
      <alignment horizontal="center" vertical="center"/>
    </xf>
    <xf numFmtId="3" fontId="13" fillId="24" borderId="13" xfId="0" applyNumberFormat="1" applyFont="1" applyFill="1" applyBorder="1" applyAlignment="1">
      <alignment horizontal="center" vertical="center"/>
    </xf>
    <xf numFmtId="3" fontId="13" fillId="24" borderId="11" xfId="0" applyNumberFormat="1" applyFont="1" applyFill="1" applyBorder="1" applyAlignment="1">
      <alignment horizontal="center" vertical="center"/>
    </xf>
    <xf numFmtId="3" fontId="8" fillId="24" borderId="0" xfId="15" applyNumberFormat="1" applyFont="1" applyFill="1" applyAlignment="1" applyProtection="1">
      <alignment horizontal="left" vertical="center"/>
      <protection/>
    </xf>
    <xf numFmtId="0" fontId="2" fillId="24" borderId="0" xfId="16" applyFont="1" applyFill="1" applyAlignment="1" applyProtection="1">
      <alignment horizontal="center" vertical="center"/>
      <protection locked="0"/>
    </xf>
    <xf numFmtId="0" fontId="1" fillId="24" borderId="0" xfId="16" applyFont="1" applyFill="1" applyAlignment="1" applyProtection="1">
      <alignment horizontal="center" vertical="center"/>
      <protection/>
    </xf>
    <xf numFmtId="0" fontId="0" fillId="24" borderId="0" xfId="16" applyFont="1" applyFill="1" applyAlignment="1" applyProtection="1">
      <alignment horizontal="center" vertical="center"/>
      <protection locked="0"/>
    </xf>
    <xf numFmtId="0" fontId="1" fillId="24" borderId="0" xfId="16" applyFont="1" applyFill="1" applyAlignment="1" applyProtection="1">
      <alignment horizontal="center" vertical="center"/>
      <protection locked="0"/>
    </xf>
    <xf numFmtId="0" fontId="1" fillId="24" borderId="0" xfId="16" applyFont="1" applyFill="1" applyAlignment="1" applyProtection="1">
      <alignment horizontal="left" vertical="center"/>
      <protection/>
    </xf>
    <xf numFmtId="0" fontId="0" fillId="24" borderId="0" xfId="16" applyFont="1" applyFill="1" applyAlignment="1" applyProtection="1">
      <alignment horizontal="center" vertical="center"/>
      <protection/>
    </xf>
    <xf numFmtId="0" fontId="2" fillId="24" borderId="0" xfId="16" applyFont="1" applyFill="1" applyAlignment="1" applyProtection="1">
      <alignment horizontal="center" vertical="center"/>
      <protection/>
    </xf>
    <xf numFmtId="0" fontId="7" fillId="24" borderId="0" xfId="16" applyFont="1" applyFill="1" applyAlignment="1" applyProtection="1">
      <alignment horizontal="left" vertical="center"/>
      <protection/>
    </xf>
    <xf numFmtId="0" fontId="7" fillId="24" borderId="0" xfId="16" applyFont="1" applyFill="1" applyAlignment="1" applyProtection="1">
      <alignment horizontal="center" vertical="center"/>
      <protection/>
    </xf>
    <xf numFmtId="0" fontId="1" fillId="24" borderId="0" xfId="16" applyFont="1" applyFill="1" applyAlignment="1" applyProtection="1">
      <alignment horizontal="left" vertical="center"/>
      <protection locked="0"/>
    </xf>
    <xf numFmtId="0" fontId="3" fillId="24" borderId="11" xfId="16" applyFont="1" applyFill="1" applyBorder="1" applyAlignment="1" applyProtection="1">
      <alignment horizontal="center" vertical="center" wrapText="1"/>
      <protection/>
    </xf>
    <xf numFmtId="0" fontId="13" fillId="24" borderId="11" xfId="16" applyFont="1" applyFill="1" applyBorder="1" applyAlignment="1" applyProtection="1">
      <alignment horizontal="center" vertical="center"/>
      <protection/>
    </xf>
    <xf numFmtId="0" fontId="13" fillId="24" borderId="11" xfId="16" applyFont="1" applyFill="1" applyBorder="1" applyAlignment="1" applyProtection="1">
      <alignment horizontal="left" vertical="center"/>
      <protection/>
    </xf>
    <xf numFmtId="3" fontId="13" fillId="24" borderId="11" xfId="16" applyNumberFormat="1" applyFont="1" applyFill="1" applyBorder="1" applyAlignment="1" applyProtection="1">
      <alignment horizontal="center" vertical="center"/>
      <protection/>
    </xf>
    <xf numFmtId="0" fontId="2" fillId="24" borderId="0" xfId="16" applyFont="1" applyFill="1" applyBorder="1" applyAlignment="1" applyProtection="1">
      <alignment horizontal="center" vertical="center"/>
      <protection locked="0"/>
    </xf>
    <xf numFmtId="0" fontId="13" fillId="24" borderId="12" xfId="16" applyFont="1" applyFill="1" applyBorder="1" applyAlignment="1" applyProtection="1">
      <alignment horizontal="center" vertical="center"/>
      <protection/>
    </xf>
    <xf numFmtId="0" fontId="13" fillId="24" borderId="12" xfId="16" applyFont="1" applyFill="1" applyBorder="1" applyAlignment="1" applyProtection="1">
      <alignment horizontal="left" vertical="center"/>
      <protection/>
    </xf>
    <xf numFmtId="3" fontId="13" fillId="24" borderId="12" xfId="16" applyNumberFormat="1" applyFont="1" applyFill="1" applyBorder="1" applyAlignment="1" applyProtection="1">
      <alignment horizontal="center" vertical="center"/>
      <protection/>
    </xf>
    <xf numFmtId="0" fontId="13" fillId="24" borderId="13" xfId="16" applyFont="1" applyFill="1" applyBorder="1" applyAlignment="1" applyProtection="1">
      <alignment horizontal="center" vertical="center"/>
      <protection/>
    </xf>
    <xf numFmtId="0" fontId="13" fillId="24" borderId="13" xfId="16" applyFont="1" applyFill="1" applyBorder="1" applyAlignment="1" applyProtection="1">
      <alignment horizontal="left" vertical="center"/>
      <protection/>
    </xf>
    <xf numFmtId="3" fontId="13" fillId="24" borderId="13" xfId="16" applyNumberFormat="1" applyFont="1" applyFill="1" applyBorder="1" applyAlignment="1" applyProtection="1">
      <alignment horizontal="center" vertical="center"/>
      <protection/>
    </xf>
    <xf numFmtId="0" fontId="13" fillId="0" borderId="12" xfId="16" applyFont="1" applyFill="1" applyBorder="1" applyAlignment="1" applyProtection="1">
      <alignment horizontal="center" vertical="center"/>
      <protection/>
    </xf>
    <xf numFmtId="0" fontId="13" fillId="24" borderId="0" xfId="16" applyFont="1" applyFill="1" applyAlignment="1" applyProtection="1">
      <alignment horizontal="center" vertical="center"/>
      <protection locked="0"/>
    </xf>
    <xf numFmtId="0" fontId="13" fillId="0" borderId="11" xfId="16" applyFont="1" applyFill="1" applyBorder="1" applyAlignment="1" applyProtection="1">
      <alignment horizontal="center" vertical="center"/>
      <protection/>
    </xf>
    <xf numFmtId="0" fontId="13" fillId="0" borderId="13" xfId="16" applyFont="1" applyFill="1" applyBorder="1" applyAlignment="1" applyProtection="1">
      <alignment horizontal="center" vertical="center"/>
      <protection/>
    </xf>
    <xf numFmtId="0" fontId="13" fillId="0" borderId="11" xfId="16" applyFont="1" applyFill="1" applyBorder="1" applyAlignment="1" applyProtection="1">
      <alignment horizontal="left" vertical="center"/>
      <protection/>
    </xf>
    <xf numFmtId="0" fontId="13" fillId="0" borderId="13" xfId="16" applyFont="1" applyFill="1" applyBorder="1" applyAlignment="1" applyProtection="1">
      <alignment horizontal="left" vertical="center"/>
      <protection/>
    </xf>
    <xf numFmtId="0" fontId="7" fillId="24" borderId="10" xfId="16" applyFont="1" applyFill="1" applyBorder="1" applyAlignment="1" applyProtection="1">
      <alignment horizontal="center" vertical="center"/>
      <protection/>
    </xf>
    <xf numFmtId="3" fontId="7" fillId="24" borderId="10" xfId="16" applyNumberFormat="1" applyFont="1" applyFill="1" applyBorder="1" applyAlignment="1" applyProtection="1">
      <alignment horizontal="center" vertical="center"/>
      <protection/>
    </xf>
    <xf numFmtId="0" fontId="1" fillId="24" borderId="0" xfId="16" applyFont="1" applyFill="1" applyBorder="1" applyAlignment="1" applyProtection="1">
      <alignment horizontal="center" vertical="center"/>
      <protection locked="0"/>
    </xf>
    <xf numFmtId="0" fontId="4" fillId="24" borderId="0" xfId="16" applyFont="1" applyFill="1" applyBorder="1" applyAlignment="1" applyProtection="1">
      <alignment horizontal="center" vertical="center"/>
      <protection/>
    </xf>
    <xf numFmtId="3" fontId="4" fillId="24" borderId="0" xfId="16" applyNumberFormat="1" applyFont="1" applyFill="1" applyBorder="1" applyAlignment="1" applyProtection="1">
      <alignment horizontal="center" vertical="center"/>
      <protection/>
    </xf>
    <xf numFmtId="0" fontId="6" fillId="24" borderId="0" xfId="16" applyFont="1" applyFill="1" applyAlignment="1" applyProtection="1">
      <alignment horizontal="center" vertical="center"/>
      <protection/>
    </xf>
    <xf numFmtId="0" fontId="2" fillId="24" borderId="0" xfId="16" applyFont="1" applyFill="1" applyAlignment="1" applyProtection="1">
      <alignment horizontal="left" vertical="center"/>
      <protection/>
    </xf>
    <xf numFmtId="0" fontId="1" fillId="24" borderId="0" xfId="16" applyFont="1" applyFill="1" applyBorder="1" applyAlignment="1" applyProtection="1">
      <alignment horizontal="left" vertical="center"/>
      <protection/>
    </xf>
    <xf numFmtId="0" fontId="2" fillId="24" borderId="0" xfId="16" applyFont="1" applyFill="1" applyBorder="1" applyAlignment="1" applyProtection="1">
      <alignment horizontal="left" vertical="center"/>
      <protection/>
    </xf>
    <xf numFmtId="0" fontId="9" fillId="24" borderId="0" xfId="16" applyFont="1" applyFill="1" applyAlignment="1" applyProtection="1">
      <alignment horizontal="center" vertical="center"/>
      <protection/>
    </xf>
    <xf numFmtId="0" fontId="8" fillId="24" borderId="0" xfId="16" applyFont="1" applyFill="1" applyAlignment="1" applyProtection="1">
      <alignment horizontal="left" vertical="center"/>
      <protection/>
    </xf>
    <xf numFmtId="9" fontId="2" fillId="24" borderId="0" xfId="16" applyNumberFormat="1" applyFont="1" applyFill="1" applyAlignment="1" applyProtection="1">
      <alignment horizontal="center" vertical="center"/>
      <protection locked="0"/>
    </xf>
    <xf numFmtId="0" fontId="8" fillId="24" borderId="0" xfId="16" applyFont="1" applyFill="1" applyAlignment="1" applyProtection="1">
      <alignment vertical="center"/>
      <protection/>
    </xf>
    <xf numFmtId="0" fontId="2" fillId="24" borderId="0" xfId="16" applyFont="1" applyFill="1" applyAlignment="1" applyProtection="1">
      <alignment vertical="center"/>
      <protection/>
    </xf>
    <xf numFmtId="0" fontId="3" fillId="24" borderId="0" xfId="16" applyFont="1" applyFill="1" applyAlignment="1" applyProtection="1">
      <alignment vertical="center"/>
      <protection/>
    </xf>
    <xf numFmtId="0" fontId="0" fillId="24" borderId="0" xfId="16" applyFont="1" applyFill="1" applyAlignment="1" applyProtection="1">
      <alignment horizontal="center" vertical="center"/>
      <protection locked="0"/>
    </xf>
    <xf numFmtId="0" fontId="8" fillId="24" borderId="0" xfId="16" applyFont="1" applyFill="1" applyBorder="1" applyAlignment="1" applyProtection="1">
      <alignment horizontal="center" vertical="center"/>
      <protection locked="0"/>
    </xf>
    <xf numFmtId="0" fontId="13" fillId="24" borderId="0" xfId="16" applyFont="1" applyFill="1" applyBorder="1" applyAlignment="1" applyProtection="1">
      <alignment horizontal="center" vertical="center"/>
      <protection locked="0"/>
    </xf>
    <xf numFmtId="0" fontId="9" fillId="24" borderId="0" xfId="16" applyFont="1" applyFill="1" applyBorder="1" applyAlignment="1" applyProtection="1">
      <alignment horizontal="center" vertical="center"/>
      <protection locked="0"/>
    </xf>
    <xf numFmtId="186" fontId="9" fillId="24" borderId="0" xfId="16" applyNumberFormat="1" applyFont="1" applyFill="1" applyBorder="1" applyAlignment="1" applyProtection="1">
      <alignment horizontal="center" vertical="center"/>
      <protection locked="0"/>
    </xf>
    <xf numFmtId="1" fontId="2" fillId="24" borderId="0" xfId="16" applyNumberFormat="1" applyFont="1" applyFill="1" applyAlignment="1" applyProtection="1">
      <alignment horizontal="center" vertical="center"/>
      <protection locked="0"/>
    </xf>
    <xf numFmtId="3" fontId="13" fillId="24" borderId="11" xfId="16" applyNumberFormat="1" applyFont="1" applyFill="1" applyBorder="1" applyAlignment="1" applyProtection="1">
      <alignment horizontal="center" vertical="center" wrapText="1"/>
      <protection/>
    </xf>
    <xf numFmtId="3" fontId="13" fillId="24" borderId="0" xfId="15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>
      <alignment horizontal="center" vertical="top" wrapText="1"/>
    </xf>
    <xf numFmtId="0" fontId="3" fillId="24" borderId="0" xfId="16" applyFont="1" applyFill="1" applyBorder="1" applyAlignment="1" applyProtection="1">
      <alignment horizontal="center" vertical="center" wrapText="1"/>
      <protection/>
    </xf>
    <xf numFmtId="3" fontId="1" fillId="24" borderId="0" xfId="16" applyNumberFormat="1" applyFont="1" applyFill="1" applyBorder="1" applyAlignment="1" applyProtection="1">
      <alignment horizontal="right" vertical="center"/>
      <protection/>
    </xf>
    <xf numFmtId="3" fontId="13" fillId="0" borderId="11" xfId="16" applyNumberFormat="1" applyFont="1" applyFill="1" applyBorder="1" applyAlignment="1" applyProtection="1">
      <alignment horizontal="center" vertical="center"/>
      <protection/>
    </xf>
    <xf numFmtId="0" fontId="13" fillId="0" borderId="12" xfId="16" applyFont="1" applyFill="1" applyBorder="1" applyAlignment="1" applyProtection="1">
      <alignment horizontal="left" vertical="center"/>
      <protection/>
    </xf>
    <xf numFmtId="0" fontId="2" fillId="0" borderId="0" xfId="15" applyFont="1" applyFill="1" applyAlignment="1" applyProtection="1">
      <alignment horizontal="center" vertical="center"/>
      <protection locked="0"/>
    </xf>
    <xf numFmtId="0" fontId="1" fillId="0" borderId="0" xfId="15" applyFont="1" applyFill="1" applyAlignment="1" applyProtection="1">
      <alignment horizontal="center" vertical="center"/>
      <protection/>
    </xf>
    <xf numFmtId="0" fontId="1" fillId="0" borderId="0" xfId="15" applyFont="1" applyFill="1" applyAlignment="1" applyProtection="1">
      <alignment horizontal="center" vertical="center"/>
      <protection locked="0"/>
    </xf>
    <xf numFmtId="0" fontId="1" fillId="0" borderId="0" xfId="15" applyFont="1" applyFill="1" applyAlignment="1" applyProtection="1">
      <alignment vertical="center"/>
      <protection/>
    </xf>
    <xf numFmtId="0" fontId="12" fillId="0" borderId="0" xfId="15" applyFont="1" applyFill="1" applyAlignment="1" applyProtection="1">
      <alignment vertical="center"/>
      <protection/>
    </xf>
    <xf numFmtId="0" fontId="1" fillId="0" borderId="0" xfId="15" applyFont="1" applyFill="1" applyAlignment="1" applyProtection="1">
      <alignment horizontal="left" vertical="center"/>
      <protection/>
    </xf>
    <xf numFmtId="0" fontId="0" fillId="0" borderId="0" xfId="15" applyFont="1" applyFill="1" applyAlignment="1" applyProtection="1">
      <alignment horizontal="center" vertical="center"/>
      <protection/>
    </xf>
    <xf numFmtId="0" fontId="2" fillId="0" borderId="0" xfId="15" applyFont="1" applyFill="1" applyAlignment="1" applyProtection="1">
      <alignment horizontal="center" vertical="center"/>
      <protection/>
    </xf>
    <xf numFmtId="0" fontId="7" fillId="0" borderId="0" xfId="15" applyFont="1" applyFill="1" applyAlignment="1" applyProtection="1">
      <alignment horizontal="left" vertical="center"/>
      <protection/>
    </xf>
    <xf numFmtId="0" fontId="7" fillId="0" borderId="0" xfId="15" applyFont="1" applyFill="1" applyAlignment="1" applyProtection="1">
      <alignment horizontal="center" vertical="center"/>
      <protection/>
    </xf>
    <xf numFmtId="0" fontId="3" fillId="0" borderId="10" xfId="15" applyFont="1" applyFill="1" applyBorder="1" applyAlignment="1" applyProtection="1">
      <alignment horizontal="center" vertical="center" wrapText="1"/>
      <protection/>
    </xf>
    <xf numFmtId="0" fontId="2" fillId="0" borderId="0" xfId="15" applyFont="1" applyFill="1" applyBorder="1" applyAlignment="1" applyProtection="1">
      <alignment horizontal="center" vertical="center"/>
      <protection locked="0"/>
    </xf>
    <xf numFmtId="0" fontId="7" fillId="0" borderId="10" xfId="15" applyFont="1" applyFill="1" applyBorder="1" applyAlignment="1" applyProtection="1">
      <alignment horizontal="center" vertical="center"/>
      <protection/>
    </xf>
    <xf numFmtId="3" fontId="7" fillId="0" borderId="10" xfId="15" applyNumberFormat="1" applyFont="1" applyFill="1" applyBorder="1" applyAlignment="1" applyProtection="1">
      <alignment horizontal="center" vertical="center"/>
      <protection/>
    </xf>
    <xf numFmtId="0" fontId="4" fillId="0" borderId="0" xfId="15" applyFont="1" applyFill="1" applyBorder="1" applyAlignment="1" applyProtection="1">
      <alignment horizontal="center" vertical="center"/>
      <protection/>
    </xf>
    <xf numFmtId="3" fontId="4" fillId="0" borderId="0" xfId="15" applyNumberFormat="1" applyFont="1" applyFill="1" applyBorder="1" applyAlignment="1" applyProtection="1">
      <alignment horizontal="center" vertical="center"/>
      <protection/>
    </xf>
    <xf numFmtId="0" fontId="6" fillId="0" borderId="0" xfId="15" applyFont="1" applyFill="1" applyAlignment="1" applyProtection="1">
      <alignment horizontal="center" vertical="center"/>
      <protection/>
    </xf>
    <xf numFmtId="0" fontId="13" fillId="0" borderId="0" xfId="15" applyFont="1" applyFill="1" applyAlignment="1" applyProtection="1">
      <alignment horizontal="center" vertical="center"/>
      <protection locked="0"/>
    </xf>
    <xf numFmtId="0" fontId="2" fillId="0" borderId="0" xfId="15" applyFont="1" applyFill="1" applyAlignment="1" applyProtection="1">
      <alignment horizontal="left" vertical="center"/>
      <protection/>
    </xf>
    <xf numFmtId="0" fontId="9" fillId="0" borderId="0" xfId="15" applyFont="1" applyFill="1" applyAlignment="1" applyProtection="1">
      <alignment horizontal="center" vertical="center"/>
      <protection/>
    </xf>
    <xf numFmtId="0" fontId="8" fillId="0" borderId="0" xfId="15" applyFont="1" applyFill="1" applyAlignment="1" applyProtection="1">
      <alignment horizontal="left" vertical="center"/>
      <protection/>
    </xf>
    <xf numFmtId="0" fontId="13" fillId="0" borderId="0" xfId="15" applyFont="1" applyFill="1" applyBorder="1" applyAlignment="1" applyProtection="1">
      <alignment horizontal="center" vertical="center"/>
      <protection locked="0"/>
    </xf>
    <xf numFmtId="0" fontId="8" fillId="0" borderId="0" xfId="15" applyFont="1" applyFill="1" applyAlignment="1" applyProtection="1">
      <alignment vertical="center"/>
      <protection/>
    </xf>
    <xf numFmtId="0" fontId="2" fillId="0" borderId="0" xfId="15" applyFont="1" applyFill="1" applyAlignment="1" applyProtection="1">
      <alignment vertical="center"/>
      <protection/>
    </xf>
    <xf numFmtId="0" fontId="13" fillId="0" borderId="0" xfId="15" applyFont="1" applyFill="1" applyAlignment="1" applyProtection="1">
      <alignment horizontal="center" vertical="center"/>
      <protection/>
    </xf>
    <xf numFmtId="0" fontId="3" fillId="0" borderId="0" xfId="15" applyFont="1" applyFill="1" applyAlignment="1" applyProtection="1">
      <alignment vertical="center"/>
      <protection/>
    </xf>
    <xf numFmtId="9" fontId="2" fillId="0" borderId="0" xfId="15" applyNumberFormat="1" applyFont="1" applyFill="1" applyAlignment="1" applyProtection="1">
      <alignment horizontal="center" vertical="center"/>
      <protection locked="0"/>
    </xf>
    <xf numFmtId="9" fontId="2" fillId="0" borderId="0" xfId="15" applyNumberFormat="1" applyFont="1" applyFill="1" applyAlignment="1" applyProtection="1">
      <alignment horizontal="center" vertical="center"/>
      <protection/>
    </xf>
    <xf numFmtId="9" fontId="2" fillId="0" borderId="0" xfId="15" applyNumberFormat="1" applyFont="1" applyFill="1" applyBorder="1" applyAlignment="1" applyProtection="1">
      <alignment horizontal="center" vertical="center"/>
      <protection locked="0"/>
    </xf>
    <xf numFmtId="0" fontId="8" fillId="0" borderId="0" xfId="15" applyFont="1" applyFill="1" applyBorder="1" applyAlignment="1" applyProtection="1">
      <alignment horizontal="center" vertical="center"/>
      <protection locked="0"/>
    </xf>
    <xf numFmtId="3" fontId="9" fillId="24" borderId="0" xfId="15" applyNumberFormat="1" applyFont="1" applyFill="1" applyAlignment="1" applyProtection="1">
      <alignment horizontal="center" vertical="center"/>
      <protection/>
    </xf>
    <xf numFmtId="3" fontId="8" fillId="24" borderId="0" xfId="15" applyNumberFormat="1" applyFont="1" applyFill="1" applyAlignment="1" applyProtection="1">
      <alignment vertical="center"/>
      <protection/>
    </xf>
    <xf numFmtId="2" fontId="13" fillId="24" borderId="10" xfId="15" applyNumberFormat="1" applyFont="1" applyFill="1" applyBorder="1" applyAlignment="1" applyProtection="1">
      <alignment horizontal="center" vertical="center"/>
      <protection/>
    </xf>
    <xf numFmtId="0" fontId="3" fillId="0" borderId="14" xfId="15" applyFont="1" applyFill="1" applyBorder="1" applyAlignment="1" applyProtection="1">
      <alignment horizontal="center" vertical="center" wrapText="1"/>
      <protection/>
    </xf>
    <xf numFmtId="0" fontId="3" fillId="0" borderId="0" xfId="15" applyFont="1" applyFill="1" applyBorder="1" applyAlignment="1" applyProtection="1">
      <alignment vertical="center" wrapText="1"/>
      <protection/>
    </xf>
    <xf numFmtId="2" fontId="13" fillId="24" borderId="11" xfId="15" applyNumberFormat="1" applyFont="1" applyFill="1" applyBorder="1" applyAlignment="1" applyProtection="1">
      <alignment horizontal="center" vertical="center"/>
      <protection/>
    </xf>
    <xf numFmtId="2" fontId="13" fillId="24" borderId="12" xfId="15" applyNumberFormat="1" applyFont="1" applyFill="1" applyBorder="1" applyAlignment="1" applyProtection="1">
      <alignment horizontal="center" vertical="center"/>
      <protection/>
    </xf>
    <xf numFmtId="2" fontId="7" fillId="24" borderId="11" xfId="15" applyNumberFormat="1" applyFont="1" applyFill="1" applyBorder="1" applyAlignment="1" applyProtection="1">
      <alignment horizontal="center" vertical="center"/>
      <protection/>
    </xf>
    <xf numFmtId="186" fontId="13" fillId="24" borderId="11" xfId="15" applyNumberFormat="1" applyFont="1" applyFill="1" applyBorder="1" applyAlignment="1" applyProtection="1">
      <alignment horizontal="center" vertical="center"/>
      <protection/>
    </xf>
    <xf numFmtId="186" fontId="13" fillId="24" borderId="12" xfId="15" applyNumberFormat="1" applyFont="1" applyFill="1" applyBorder="1" applyAlignment="1" applyProtection="1">
      <alignment horizontal="center" vertical="center"/>
      <protection/>
    </xf>
    <xf numFmtId="186" fontId="13" fillId="24" borderId="13" xfId="15" applyNumberFormat="1" applyFont="1" applyFill="1" applyBorder="1" applyAlignment="1" applyProtection="1">
      <alignment horizontal="center" vertical="center"/>
      <protection/>
    </xf>
    <xf numFmtId="3" fontId="4" fillId="0" borderId="0" xfId="15" applyNumberFormat="1" applyFont="1" applyFill="1" applyAlignment="1" applyProtection="1">
      <alignment horizontal="left" vertical="center"/>
      <protection/>
    </xf>
    <xf numFmtId="3" fontId="7" fillId="0" borderId="10" xfId="16" applyNumberFormat="1" applyFont="1" applyFill="1" applyBorder="1" applyAlignment="1" applyProtection="1">
      <alignment horizontal="center" vertical="center"/>
      <protection/>
    </xf>
    <xf numFmtId="3" fontId="2" fillId="24" borderId="0" xfId="15" applyNumberFormat="1" applyFont="1" applyFill="1" applyAlignment="1" applyProtection="1">
      <alignment horizontal="left" vertical="center"/>
      <protection/>
    </xf>
    <xf numFmtId="3" fontId="2" fillId="24" borderId="0" xfId="15" applyNumberFormat="1" applyFont="1" applyFill="1" applyAlignment="1" applyProtection="1">
      <alignment horizontal="center" vertical="center"/>
      <protection/>
    </xf>
    <xf numFmtId="3" fontId="7" fillId="24" borderId="12" xfId="15" applyNumberFormat="1" applyFont="1" applyFill="1" applyBorder="1" applyAlignment="1" applyProtection="1">
      <alignment horizontal="center" vertical="center"/>
      <protection/>
    </xf>
    <xf numFmtId="0" fontId="3" fillId="0" borderId="15" xfId="15" applyFont="1" applyFill="1" applyBorder="1" applyAlignment="1" applyProtection="1">
      <alignment vertical="center" wrapText="1"/>
      <protection/>
    </xf>
    <xf numFmtId="3" fontId="2" fillId="0" borderId="0" xfId="15" applyNumberFormat="1" applyFont="1" applyFill="1" applyAlignment="1" applyProtection="1">
      <alignment horizontal="center" vertical="center"/>
      <protection locked="0"/>
    </xf>
    <xf numFmtId="3" fontId="1" fillId="24" borderId="0" xfId="15" applyNumberFormat="1" applyFont="1" applyFill="1" applyAlignment="1" applyProtection="1">
      <alignment horizontal="center" vertical="center"/>
      <protection locked="0"/>
    </xf>
    <xf numFmtId="0" fontId="3" fillId="0" borderId="15" xfId="15" applyFont="1" applyFill="1" applyBorder="1" applyAlignment="1" applyProtection="1">
      <alignment horizontal="center" vertical="center" wrapText="1"/>
      <protection/>
    </xf>
    <xf numFmtId="3" fontId="13" fillId="24" borderId="11" xfId="15" applyNumberFormat="1" applyFont="1" applyFill="1" applyBorder="1" applyAlignment="1" applyProtection="1">
      <alignment horizontal="right" vertical="center"/>
      <protection locked="0"/>
    </xf>
    <xf numFmtId="3" fontId="13" fillId="24" borderId="12" xfId="15" applyNumberFormat="1" applyFont="1" applyFill="1" applyBorder="1" applyAlignment="1" applyProtection="1">
      <alignment horizontal="right" vertical="center"/>
      <protection locked="0"/>
    </xf>
    <xf numFmtId="3" fontId="13" fillId="24" borderId="13" xfId="15" applyNumberFormat="1" applyFont="1" applyFill="1" applyBorder="1" applyAlignment="1" applyProtection="1">
      <alignment horizontal="right" vertical="center"/>
      <protection locked="0"/>
    </xf>
    <xf numFmtId="0" fontId="13" fillId="0" borderId="11" xfId="16" applyFont="1" applyFill="1" applyBorder="1" applyAlignment="1" applyProtection="1">
      <alignment horizontal="center" vertical="center"/>
      <protection locked="0"/>
    </xf>
    <xf numFmtId="0" fontId="13" fillId="0" borderId="12" xfId="16" applyFont="1" applyFill="1" applyBorder="1" applyAlignment="1" applyProtection="1">
      <alignment horizontal="center" vertical="center"/>
      <protection locked="0"/>
    </xf>
    <xf numFmtId="0" fontId="13" fillId="0" borderId="13" xfId="16" applyFont="1" applyFill="1" applyBorder="1" applyAlignment="1" applyProtection="1">
      <alignment horizontal="center" vertical="center"/>
      <protection locked="0"/>
    </xf>
    <xf numFmtId="4" fontId="13" fillId="0" borderId="11" xfId="15" applyNumberFormat="1" applyFont="1" applyFill="1" applyBorder="1" applyAlignment="1" applyProtection="1">
      <alignment horizontal="center" vertical="center"/>
      <protection/>
    </xf>
    <xf numFmtId="4" fontId="13" fillId="0" borderId="12" xfId="15" applyNumberFormat="1" applyFont="1" applyFill="1" applyBorder="1" applyAlignment="1" applyProtection="1">
      <alignment horizontal="center" vertical="center"/>
      <protection/>
    </xf>
    <xf numFmtId="4" fontId="13" fillId="0" borderId="13" xfId="15" applyNumberFormat="1" applyFont="1" applyFill="1" applyBorder="1" applyAlignment="1" applyProtection="1">
      <alignment horizontal="center" vertical="center"/>
      <protection/>
    </xf>
    <xf numFmtId="4" fontId="7" fillId="0" borderId="10" xfId="15" applyNumberFormat="1" applyFont="1" applyFill="1" applyBorder="1" applyAlignment="1" applyProtection="1">
      <alignment horizontal="center" vertical="center"/>
      <protection/>
    </xf>
    <xf numFmtId="3" fontId="3" fillId="0" borderId="0" xfId="15" applyNumberFormat="1" applyFont="1" applyFill="1" applyAlignment="1" applyProtection="1">
      <alignment horizontal="left" vertical="center"/>
      <protection/>
    </xf>
    <xf numFmtId="0" fontId="3" fillId="0" borderId="11" xfId="15" applyFont="1" applyFill="1" applyBorder="1" applyAlignment="1" applyProtection="1">
      <alignment vertical="center" wrapText="1"/>
      <protection/>
    </xf>
    <xf numFmtId="3" fontId="7" fillId="24" borderId="0" xfId="15" applyNumberFormat="1" applyFont="1" applyFill="1" applyAlignment="1" applyProtection="1">
      <alignment horizontal="center" vertical="center"/>
      <protection/>
    </xf>
    <xf numFmtId="3" fontId="6" fillId="0" borderId="0" xfId="15" applyNumberFormat="1" applyFont="1" applyFill="1" applyAlignment="1" applyProtection="1">
      <alignment horizontal="center" vertical="center"/>
      <protection/>
    </xf>
    <xf numFmtId="3" fontId="13" fillId="0" borderId="0" xfId="15" applyNumberFormat="1" applyFont="1" applyFill="1" applyAlignment="1" applyProtection="1">
      <alignment horizontal="center" vertical="center"/>
      <protection/>
    </xf>
    <xf numFmtId="2" fontId="13" fillId="24" borderId="0" xfId="15" applyNumberFormat="1" applyFont="1" applyFill="1" applyBorder="1" applyAlignment="1" applyProtection="1">
      <alignment horizontal="center" vertical="center"/>
      <protection locked="0"/>
    </xf>
    <xf numFmtId="2" fontId="13" fillId="24" borderId="0" xfId="15" applyNumberFormat="1" applyFont="1" applyFill="1" applyAlignment="1" applyProtection="1">
      <alignment horizontal="center" vertical="center"/>
      <protection/>
    </xf>
    <xf numFmtId="2" fontId="9" fillId="24" borderId="0" xfId="15" applyNumberFormat="1" applyFont="1" applyFill="1" applyAlignment="1" applyProtection="1">
      <alignment vertical="center"/>
      <protection/>
    </xf>
    <xf numFmtId="0" fontId="1" fillId="24" borderId="0" xfId="0" applyFont="1" applyFill="1" applyAlignment="1">
      <alignment/>
    </xf>
    <xf numFmtId="3" fontId="1" fillId="24" borderId="0" xfId="15" applyNumberFormat="1" applyFont="1" applyFill="1" applyAlignment="1" applyProtection="1">
      <alignment horizontal="left" vertical="center"/>
      <protection/>
    </xf>
    <xf numFmtId="0" fontId="13" fillId="24" borderId="0" xfId="0" applyFont="1" applyFill="1" applyAlignment="1">
      <alignment/>
    </xf>
    <xf numFmtId="0" fontId="7" fillId="24" borderId="0" xfId="15" applyFont="1" applyFill="1" applyAlignment="1" applyProtection="1">
      <alignment vertical="center"/>
      <protection/>
    </xf>
    <xf numFmtId="3" fontId="13" fillId="24" borderId="0" xfId="0" applyNumberFormat="1" applyFont="1" applyFill="1" applyAlignment="1">
      <alignment/>
    </xf>
    <xf numFmtId="0" fontId="7" fillId="24" borderId="10" xfId="15" applyFont="1" applyFill="1" applyBorder="1" applyAlignment="1" applyProtection="1">
      <alignment horizontal="center" vertical="center" wrapText="1"/>
      <protection/>
    </xf>
    <xf numFmtId="0" fontId="7" fillId="24" borderId="0" xfId="15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Alignment="1">
      <alignment/>
    </xf>
    <xf numFmtId="0" fontId="13" fillId="24" borderId="0" xfId="15" applyFont="1" applyFill="1" applyBorder="1" applyAlignment="1" applyProtection="1">
      <alignment horizontal="center" vertical="center"/>
      <protection/>
    </xf>
    <xf numFmtId="0" fontId="13" fillId="24" borderId="0" xfId="15" applyFont="1" applyFill="1" applyAlignment="1" applyProtection="1">
      <alignment horizontal="left" vertical="center"/>
      <protection/>
    </xf>
    <xf numFmtId="0" fontId="7" fillId="24" borderId="0" xfId="15" applyFont="1" applyFill="1" applyBorder="1" applyAlignment="1" applyProtection="1">
      <alignment horizontal="left" vertical="center"/>
      <protection/>
    </xf>
    <xf numFmtId="0" fontId="13" fillId="24" borderId="0" xfId="15" applyFont="1" applyFill="1" applyBorder="1" applyAlignment="1" applyProtection="1">
      <alignment horizontal="left" vertical="center"/>
      <protection/>
    </xf>
    <xf numFmtId="4" fontId="13" fillId="24" borderId="0" xfId="15" applyNumberFormat="1" applyFont="1" applyFill="1" applyAlignment="1" applyProtection="1">
      <alignment horizontal="center" vertical="center"/>
      <protection/>
    </xf>
    <xf numFmtId="2" fontId="13" fillId="24" borderId="0" xfId="15" applyNumberFormat="1" applyFont="1" applyFill="1" applyAlignment="1" applyProtection="1">
      <alignment vertical="center" wrapText="1"/>
      <protection/>
    </xf>
    <xf numFmtId="0" fontId="13" fillId="24" borderId="0" xfId="15" applyFont="1" applyFill="1" applyAlignment="1" applyProtection="1">
      <alignment vertical="center"/>
      <protection/>
    </xf>
    <xf numFmtId="1" fontId="13" fillId="24" borderId="0" xfId="0" applyNumberFormat="1" applyFont="1" applyFill="1" applyAlignment="1">
      <alignment/>
    </xf>
    <xf numFmtId="2" fontId="13" fillId="24" borderId="0" xfId="0" applyNumberFormat="1" applyFont="1" applyFill="1" applyAlignment="1">
      <alignment vertical="center" wrapText="1"/>
    </xf>
    <xf numFmtId="4" fontId="13" fillId="24" borderId="0" xfId="15" applyNumberFormat="1" applyFont="1" applyFill="1" applyAlignment="1" applyProtection="1">
      <alignment horizontal="center" vertical="center"/>
      <protection locked="0"/>
    </xf>
    <xf numFmtId="2" fontId="7" fillId="24" borderId="0" xfId="15" applyNumberFormat="1" applyFont="1" applyFill="1" applyAlignment="1" applyProtection="1">
      <alignment vertical="center"/>
      <protection/>
    </xf>
    <xf numFmtId="0" fontId="13" fillId="24" borderId="10" xfId="15" applyFont="1" applyFill="1" applyBorder="1" applyAlignment="1" applyProtection="1">
      <alignment horizontal="center" vertical="center"/>
      <protection/>
    </xf>
    <xf numFmtId="0" fontId="13" fillId="24" borderId="10" xfId="15" applyFont="1" applyFill="1" applyBorder="1" applyAlignment="1" applyProtection="1">
      <alignment horizontal="center" vertical="center" wrapText="1"/>
      <protection locked="0"/>
    </xf>
    <xf numFmtId="0" fontId="13" fillId="24" borderId="15" xfId="15" applyFont="1" applyFill="1" applyBorder="1" applyAlignment="1" applyProtection="1">
      <alignment horizontal="center" vertical="center" wrapText="1"/>
      <protection locked="0"/>
    </xf>
    <xf numFmtId="4" fontId="13" fillId="24" borderId="0" xfId="15" applyNumberFormat="1" applyFont="1" applyFill="1" applyBorder="1" applyAlignment="1" applyProtection="1">
      <alignment horizontal="center" vertical="center"/>
      <protection locked="0"/>
    </xf>
    <xf numFmtId="0" fontId="13" fillId="24" borderId="10" xfId="15" applyFont="1" applyFill="1" applyBorder="1" applyAlignment="1" applyProtection="1">
      <alignment horizontal="center" vertical="center"/>
      <protection locked="0"/>
    </xf>
    <xf numFmtId="4" fontId="7" fillId="24" borderId="0" xfId="15" applyNumberFormat="1" applyFont="1" applyFill="1" applyBorder="1" applyAlignment="1" applyProtection="1">
      <alignment horizontal="center" vertical="center"/>
      <protection locked="0"/>
    </xf>
    <xf numFmtId="10" fontId="13" fillId="24" borderId="10" xfId="15" applyNumberFormat="1" applyFont="1" applyFill="1" applyBorder="1" applyAlignment="1" applyProtection="1">
      <alignment horizontal="center" vertical="center"/>
      <protection locked="0"/>
    </xf>
    <xf numFmtId="0" fontId="13" fillId="24" borderId="13" xfId="15" applyFont="1" applyFill="1" applyBorder="1" applyAlignment="1" applyProtection="1">
      <alignment horizontal="center" vertical="center"/>
      <protection locked="0"/>
    </xf>
    <xf numFmtId="10" fontId="13" fillId="24" borderId="13" xfId="15" applyNumberFormat="1" applyFont="1" applyFill="1" applyBorder="1" applyAlignment="1" applyProtection="1">
      <alignment horizontal="center" vertical="center"/>
      <protection locked="0"/>
    </xf>
    <xf numFmtId="10" fontId="13" fillId="24" borderId="10" xfId="15" applyNumberFormat="1" applyFont="1" applyFill="1" applyBorder="1" applyAlignment="1" applyProtection="1">
      <alignment horizontal="center" vertical="center"/>
      <protection/>
    </xf>
    <xf numFmtId="10" fontId="7" fillId="24" borderId="10" xfId="15" applyNumberFormat="1" applyFont="1" applyFill="1" applyBorder="1" applyAlignment="1" applyProtection="1">
      <alignment horizontal="center" vertical="center"/>
      <protection/>
    </xf>
    <xf numFmtId="4" fontId="15" fillId="24" borderId="0" xfId="15" applyNumberFormat="1" applyFont="1" applyFill="1" applyAlignment="1" applyProtection="1">
      <alignment vertical="center"/>
      <protection/>
    </xf>
    <xf numFmtId="0" fontId="7" fillId="24" borderId="10" xfId="15" applyFont="1" applyFill="1" applyBorder="1" applyAlignment="1" applyProtection="1">
      <alignment horizontal="center" vertical="center"/>
      <protection locked="0"/>
    </xf>
    <xf numFmtId="10" fontId="7" fillId="24" borderId="10" xfId="15" applyNumberFormat="1" applyFont="1" applyFill="1" applyBorder="1" applyAlignment="1" applyProtection="1">
      <alignment horizontal="center" vertical="center"/>
      <protection locked="0"/>
    </xf>
    <xf numFmtId="9" fontId="7" fillId="24" borderId="10" xfId="15" applyNumberFormat="1" applyFont="1" applyFill="1" applyBorder="1" applyAlignment="1" applyProtection="1">
      <alignment horizontal="center" vertical="center"/>
      <protection locked="0"/>
    </xf>
    <xf numFmtId="9" fontId="7" fillId="24" borderId="0" xfId="15" applyNumberFormat="1" applyFont="1" applyFill="1" applyBorder="1" applyAlignment="1" applyProtection="1">
      <alignment horizontal="center" vertical="center"/>
      <protection locked="0"/>
    </xf>
    <xf numFmtId="14" fontId="7" fillId="24" borderId="0" xfId="15" applyNumberFormat="1" applyFont="1" applyFill="1" applyBorder="1" applyAlignment="1" applyProtection="1">
      <alignment horizontal="center" vertical="center"/>
      <protection locked="0"/>
    </xf>
    <xf numFmtId="186" fontId="13" fillId="24" borderId="0" xfId="15" applyNumberFormat="1" applyFont="1" applyFill="1" applyBorder="1" applyAlignment="1" applyProtection="1">
      <alignment horizontal="center" vertical="center"/>
      <protection locked="0"/>
    </xf>
    <xf numFmtId="2" fontId="13" fillId="24" borderId="0" xfId="15" applyNumberFormat="1" applyFont="1" applyFill="1" applyAlignment="1" applyProtection="1">
      <alignment horizontal="center" vertical="center"/>
      <protection locked="0"/>
    </xf>
    <xf numFmtId="3" fontId="13" fillId="25" borderId="11" xfId="15" applyNumberFormat="1" applyFont="1" applyFill="1" applyBorder="1" applyAlignment="1" applyProtection="1">
      <alignment horizontal="center" vertical="center"/>
      <protection/>
    </xf>
    <xf numFmtId="3" fontId="13" fillId="25" borderId="12" xfId="15" applyNumberFormat="1" applyFont="1" applyFill="1" applyBorder="1" applyAlignment="1" applyProtection="1">
      <alignment horizontal="center" vertical="center"/>
      <protection/>
    </xf>
    <xf numFmtId="3" fontId="13" fillId="25" borderId="13" xfId="15" applyNumberFormat="1" applyFont="1" applyFill="1" applyBorder="1" applyAlignment="1" applyProtection="1">
      <alignment horizontal="center" vertical="center"/>
      <protection/>
    </xf>
    <xf numFmtId="2" fontId="13" fillId="0" borderId="10" xfId="15" applyNumberFormat="1" applyFont="1" applyFill="1" applyBorder="1" applyAlignment="1" applyProtection="1">
      <alignment horizontal="center" vertical="center"/>
      <protection/>
    </xf>
    <xf numFmtId="0" fontId="13" fillId="24" borderId="0" xfId="15" applyFont="1" applyFill="1" applyAlignment="1" applyProtection="1" quotePrefix="1">
      <alignment horizontal="center" vertical="center"/>
      <protection locked="0"/>
    </xf>
    <xf numFmtId="2" fontId="13" fillId="24" borderId="0" xfId="0" applyNumberFormat="1" applyFont="1" applyFill="1" applyAlignment="1">
      <alignment/>
    </xf>
    <xf numFmtId="0" fontId="9" fillId="0" borderId="0" xfId="15" applyFont="1" applyFill="1" applyBorder="1" applyAlignment="1" applyProtection="1">
      <alignment horizontal="center" vertical="center"/>
      <protection locked="0"/>
    </xf>
    <xf numFmtId="0" fontId="9" fillId="0" borderId="0" xfId="15" applyFont="1" applyFill="1" applyBorder="1" applyAlignment="1" applyProtection="1">
      <alignment horizontal="left" vertical="center"/>
      <protection locked="0"/>
    </xf>
    <xf numFmtId="0" fontId="9" fillId="0" borderId="0" xfId="15" applyFont="1" applyFill="1" applyBorder="1" applyAlignment="1" applyProtection="1">
      <alignment horizontal="right" vertical="center"/>
      <protection locked="0"/>
    </xf>
    <xf numFmtId="3" fontId="13" fillId="0" borderId="11" xfId="16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" fontId="7" fillId="24" borderId="0" xfId="15" applyNumberFormat="1" applyFont="1" applyFill="1" applyAlignment="1" applyProtection="1">
      <alignment horizontal="left" vertical="center"/>
      <protection/>
    </xf>
    <xf numFmtId="1" fontId="7" fillId="24" borderId="0" xfId="15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25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3" fillId="0" borderId="10" xfId="15" applyFont="1" applyFill="1" applyBorder="1" applyAlignment="1" applyProtection="1">
      <alignment horizontal="left" vertical="center"/>
      <protection/>
    </xf>
    <xf numFmtId="3" fontId="13" fillId="0" borderId="10" xfId="15" applyNumberFormat="1" applyFont="1" applyFill="1" applyBorder="1" applyAlignment="1" applyProtection="1">
      <alignment horizontal="center" vertical="center"/>
      <protection/>
    </xf>
    <xf numFmtId="0" fontId="7" fillId="0" borderId="10" xfId="15" applyFont="1" applyFill="1" applyBorder="1" applyAlignment="1" applyProtection="1">
      <alignment horizontal="left" vertical="center"/>
      <protection/>
    </xf>
    <xf numFmtId="0" fontId="15" fillId="0" borderId="0" xfId="15" applyFont="1" applyFill="1" applyAlignment="1" applyProtection="1">
      <alignment vertical="center"/>
      <protection/>
    </xf>
    <xf numFmtId="3" fontId="13" fillId="0" borderId="10" xfId="15" applyNumberFormat="1" applyFont="1" applyFill="1" applyBorder="1" applyAlignment="1" applyProtection="1">
      <alignment horizontal="center" vertical="center"/>
      <protection locked="0"/>
    </xf>
    <xf numFmtId="0" fontId="7" fillId="0" borderId="0" xfId="15" applyFont="1" applyFill="1" applyAlignment="1" applyProtection="1">
      <alignment vertical="center"/>
      <protection/>
    </xf>
    <xf numFmtId="0" fontId="7" fillId="0" borderId="0" xfId="15" applyFont="1" applyFill="1" applyBorder="1" applyAlignment="1" applyProtection="1">
      <alignment horizontal="center" vertical="center"/>
      <protection locked="0"/>
    </xf>
    <xf numFmtId="3" fontId="13" fillId="0" borderId="0" xfId="15" applyNumberFormat="1" applyFont="1" applyFill="1" applyAlignment="1" applyProtection="1">
      <alignment horizontal="center" vertical="center"/>
      <protection locked="0"/>
    </xf>
    <xf numFmtId="0" fontId="7" fillId="0" borderId="0" xfId="15" applyFont="1" applyFill="1" applyAlignment="1" applyProtection="1">
      <alignment horizontal="center" vertical="center"/>
      <protection locked="0"/>
    </xf>
    <xf numFmtId="2" fontId="0" fillId="25" borderId="0" xfId="0" applyNumberFormat="1" applyFill="1" applyBorder="1" applyAlignment="1">
      <alignment/>
    </xf>
    <xf numFmtId="1" fontId="0" fillId="25" borderId="0" xfId="0" applyNumberFormat="1" applyFill="1" applyBorder="1" applyAlignment="1">
      <alignment/>
    </xf>
    <xf numFmtId="0" fontId="7" fillId="0" borderId="16" xfId="15" applyFont="1" applyFill="1" applyBorder="1" applyAlignment="1" applyProtection="1">
      <alignment horizontal="center" vertical="center" wrapText="1"/>
      <protection/>
    </xf>
    <xf numFmtId="0" fontId="7" fillId="0" borderId="17" xfId="15" applyFont="1" applyFill="1" applyBorder="1" applyAlignment="1" applyProtection="1">
      <alignment horizontal="center" vertical="center" wrapText="1"/>
      <protection/>
    </xf>
    <xf numFmtId="0" fontId="7" fillId="0" borderId="18" xfId="15" applyFont="1" applyFill="1" applyBorder="1" applyAlignment="1" applyProtection="1">
      <alignment horizontal="center" vertical="center" wrapText="1"/>
      <protection/>
    </xf>
    <xf numFmtId="0" fontId="13" fillId="0" borderId="19" xfId="15" applyFont="1" applyFill="1" applyBorder="1" applyAlignment="1" applyProtection="1">
      <alignment horizontal="left" vertical="center"/>
      <protection/>
    </xf>
    <xf numFmtId="3" fontId="13" fillId="0" borderId="19" xfId="15" applyNumberFormat="1" applyFont="1" applyFill="1" applyBorder="1" applyAlignment="1" applyProtection="1">
      <alignment horizontal="center" vertical="center"/>
      <protection/>
    </xf>
    <xf numFmtId="3" fontId="7" fillId="0" borderId="20" xfId="15" applyNumberFormat="1" applyFont="1" applyFill="1" applyBorder="1" applyAlignment="1" applyProtection="1">
      <alignment horizontal="center" vertical="center"/>
      <protection/>
    </xf>
    <xf numFmtId="3" fontId="7" fillId="0" borderId="21" xfId="15" applyNumberFormat="1" applyFont="1" applyFill="1" applyBorder="1" applyAlignment="1" applyProtection="1">
      <alignment horizontal="center" vertical="center"/>
      <protection/>
    </xf>
    <xf numFmtId="0" fontId="13" fillId="0" borderId="22" xfId="15" applyFont="1" applyFill="1" applyBorder="1" applyAlignment="1" applyProtection="1">
      <alignment horizontal="left" vertical="center"/>
      <protection/>
    </xf>
    <xf numFmtId="3" fontId="13" fillId="0" borderId="22" xfId="15" applyNumberFormat="1" applyFont="1" applyFill="1" applyBorder="1" applyAlignment="1" applyProtection="1">
      <alignment horizontal="center" vertical="center"/>
      <protection/>
    </xf>
    <xf numFmtId="3" fontId="7" fillId="0" borderId="23" xfId="15" applyNumberFormat="1" applyFont="1" applyFill="1" applyBorder="1" applyAlignment="1" applyProtection="1">
      <alignment horizontal="center" vertical="center"/>
      <protection/>
    </xf>
    <xf numFmtId="0" fontId="7" fillId="0" borderId="19" xfId="15" applyFont="1" applyFill="1" applyBorder="1" applyAlignment="1" applyProtection="1">
      <alignment horizontal="left" vertical="center"/>
      <protection/>
    </xf>
    <xf numFmtId="0" fontId="7" fillId="0" borderId="22" xfId="15" applyFont="1" applyFill="1" applyBorder="1" applyAlignment="1" applyProtection="1">
      <alignment horizontal="left" vertical="center"/>
      <protection/>
    </xf>
    <xf numFmtId="3" fontId="13" fillId="0" borderId="19" xfId="15" applyNumberFormat="1" applyFont="1" applyFill="1" applyBorder="1" applyAlignment="1" applyProtection="1">
      <alignment horizontal="center" vertical="center"/>
      <protection locked="0"/>
    </xf>
    <xf numFmtId="3" fontId="8" fillId="0" borderId="0" xfId="15" applyNumberFormat="1" applyFont="1" applyFill="1" applyAlignment="1" applyProtection="1">
      <alignment vertical="center"/>
      <protection/>
    </xf>
    <xf numFmtId="0" fontId="7" fillId="0" borderId="10" xfId="15" applyFont="1" applyFill="1" applyBorder="1" applyAlignment="1" applyProtection="1">
      <alignment horizontal="center" vertical="center" wrapText="1"/>
      <protection/>
    </xf>
    <xf numFmtId="0" fontId="1" fillId="0" borderId="0" xfId="15" applyFont="1" applyFill="1" applyAlignment="1" applyProtection="1">
      <alignment horizontal="left" vertical="center"/>
      <protection locked="0"/>
    </xf>
    <xf numFmtId="0" fontId="7" fillId="0" borderId="0" xfId="15" applyFont="1" applyFill="1" applyBorder="1" applyAlignment="1" applyProtection="1">
      <alignment horizontal="center" vertical="center" wrapText="1"/>
      <protection/>
    </xf>
    <xf numFmtId="4" fontId="7" fillId="24" borderId="10" xfId="15" applyNumberFormat="1" applyFont="1" applyFill="1" applyBorder="1" applyAlignment="1" applyProtection="1">
      <alignment horizontal="center" vertical="center"/>
      <protection/>
    </xf>
    <xf numFmtId="3" fontId="13" fillId="24" borderId="10" xfId="15" applyNumberFormat="1" applyFont="1" applyFill="1" applyBorder="1" applyAlignment="1" applyProtection="1">
      <alignment horizontal="center" vertical="center"/>
      <protection/>
    </xf>
    <xf numFmtId="4" fontId="1" fillId="24" borderId="10" xfId="15" applyNumberFormat="1" applyFont="1" applyFill="1" applyBorder="1" applyAlignment="1" applyProtection="1">
      <alignment horizontal="center" vertical="center"/>
      <protection/>
    </xf>
    <xf numFmtId="3" fontId="1" fillId="24" borderId="0" xfId="15" applyNumberFormat="1" applyFont="1" applyFill="1" applyBorder="1" applyAlignment="1" applyProtection="1">
      <alignment horizontal="right" vertical="center"/>
      <protection/>
    </xf>
    <xf numFmtId="186" fontId="13" fillId="24" borderId="10" xfId="15" applyNumberFormat="1" applyFont="1" applyFill="1" applyBorder="1" applyAlignment="1" applyProtection="1">
      <alignment horizontal="center" vertical="center"/>
      <protection/>
    </xf>
    <xf numFmtId="3" fontId="2" fillId="24" borderId="0" xfId="15" applyNumberFormat="1" applyFont="1" applyFill="1" applyAlignment="1" applyProtection="1">
      <alignment horizontal="center" vertical="center"/>
      <protection locked="0"/>
    </xf>
    <xf numFmtId="2" fontId="1" fillId="24" borderId="0" xfId="15" applyNumberFormat="1" applyFont="1" applyFill="1" applyBorder="1" applyAlignment="1" applyProtection="1">
      <alignment horizontal="center" vertical="center"/>
      <protection/>
    </xf>
    <xf numFmtId="3" fontId="13" fillId="24" borderId="10" xfId="15" applyNumberFormat="1" applyFont="1" applyFill="1" applyBorder="1" applyAlignment="1" applyProtection="1">
      <alignment horizontal="right" vertical="center"/>
      <protection/>
    </xf>
    <xf numFmtId="2" fontId="2" fillId="24" borderId="0" xfId="15" applyNumberFormat="1" applyFont="1" applyFill="1" applyBorder="1" applyAlignment="1" applyProtection="1">
      <alignment horizontal="center" vertical="center"/>
      <protection/>
    </xf>
    <xf numFmtId="4" fontId="7" fillId="0" borderId="10" xfId="15" applyNumberFormat="1" applyFont="1" applyFill="1" applyBorder="1" applyAlignment="1" applyProtection="1" quotePrefix="1">
      <alignment horizontal="center" vertical="center"/>
      <protection/>
    </xf>
    <xf numFmtId="199" fontId="7" fillId="0" borderId="10" xfId="15" applyNumberFormat="1" applyFont="1" applyFill="1" applyBorder="1" applyAlignment="1" applyProtection="1">
      <alignment horizontal="center" vertical="center"/>
      <protection/>
    </xf>
    <xf numFmtId="4" fontId="7" fillId="0" borderId="19" xfId="15" applyNumberFormat="1" applyFont="1" applyFill="1" applyBorder="1" applyAlignment="1" applyProtection="1">
      <alignment horizontal="center" vertical="center"/>
      <protection/>
    </xf>
    <xf numFmtId="4" fontId="7" fillId="0" borderId="20" xfId="15" applyNumberFormat="1" applyFont="1" applyFill="1" applyBorder="1" applyAlignment="1" applyProtection="1">
      <alignment horizontal="center" vertical="center"/>
      <protection/>
    </xf>
    <xf numFmtId="4" fontId="7" fillId="0" borderId="21" xfId="15" applyNumberFormat="1" applyFont="1" applyFill="1" applyBorder="1" applyAlignment="1" applyProtection="1">
      <alignment horizontal="center" vertical="center"/>
      <protection/>
    </xf>
    <xf numFmtId="4" fontId="7" fillId="0" borderId="22" xfId="15" applyNumberFormat="1" applyFont="1" applyFill="1" applyBorder="1" applyAlignment="1" applyProtection="1">
      <alignment horizontal="center" vertical="center"/>
      <protection/>
    </xf>
    <xf numFmtId="4" fontId="7" fillId="0" borderId="23" xfId="15" applyNumberFormat="1" applyFont="1" applyFill="1" applyBorder="1" applyAlignment="1" applyProtection="1">
      <alignment horizontal="center" vertical="center"/>
      <protection/>
    </xf>
    <xf numFmtId="2" fontId="7" fillId="24" borderId="10" xfId="15" applyNumberFormat="1" applyFont="1" applyFill="1" applyBorder="1" applyAlignment="1" applyProtection="1">
      <alignment horizontal="center" vertical="center"/>
      <protection/>
    </xf>
    <xf numFmtId="3" fontId="13" fillId="24" borderId="0" xfId="15" applyNumberFormat="1" applyFont="1" applyFill="1" applyAlignment="1" applyProtection="1">
      <alignment horizontal="center" vertical="center"/>
      <protection locked="0"/>
    </xf>
    <xf numFmtId="3" fontId="3" fillId="0" borderId="0" xfId="15" applyNumberFormat="1" applyFont="1" applyFill="1" applyAlignment="1" applyProtection="1">
      <alignment vertical="center"/>
      <protection/>
    </xf>
    <xf numFmtId="3" fontId="7" fillId="24" borderId="0" xfId="15" applyNumberFormat="1" applyFont="1" applyFill="1" applyAlignment="1" applyProtection="1">
      <alignment vertical="center"/>
      <protection/>
    </xf>
    <xf numFmtId="2" fontId="13" fillId="0" borderId="10" xfId="15" applyNumberFormat="1" applyFont="1" applyFill="1" applyBorder="1" applyAlignment="1" applyProtection="1">
      <alignment horizontal="center" vertical="center"/>
      <protection locked="0"/>
    </xf>
    <xf numFmtId="3" fontId="2" fillId="0" borderId="24" xfId="0" applyNumberFormat="1" applyFont="1" applyBorder="1" applyAlignment="1">
      <alignment vertical="top" wrapText="1"/>
    </xf>
    <xf numFmtId="0" fontId="13" fillId="0" borderId="10" xfId="15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4" fontId="13" fillId="24" borderId="10" xfId="15" applyNumberFormat="1" applyFont="1" applyFill="1" applyBorder="1" applyAlignment="1" applyProtection="1">
      <alignment horizontal="center" vertical="center"/>
      <protection locked="0"/>
    </xf>
    <xf numFmtId="3" fontId="13" fillId="24" borderId="10" xfId="15" applyNumberFormat="1" applyFont="1" applyFill="1" applyBorder="1" applyAlignment="1" applyProtection="1">
      <alignment horizontal="center" vertical="center"/>
      <protection locked="0"/>
    </xf>
    <xf numFmtId="17" fontId="7" fillId="0" borderId="17" xfId="15" applyNumberFormat="1" applyFont="1" applyFill="1" applyBorder="1" applyAlignment="1" applyProtection="1">
      <alignment horizontal="center" vertical="center" wrapText="1"/>
      <protection/>
    </xf>
    <xf numFmtId="193" fontId="13" fillId="24" borderId="10" xfId="15" applyNumberFormat="1" applyFont="1" applyFill="1" applyBorder="1" applyAlignment="1" applyProtection="1">
      <alignment horizontal="center" vertical="center"/>
      <protection locked="0"/>
    </xf>
    <xf numFmtId="3" fontId="13" fillId="0" borderId="11" xfId="15" applyNumberFormat="1" applyFont="1" applyFill="1" applyBorder="1" applyAlignment="1" applyProtection="1">
      <alignment horizontal="right" vertical="center"/>
      <protection/>
    </xf>
    <xf numFmtId="3" fontId="13" fillId="0" borderId="12" xfId="15" applyNumberFormat="1" applyFont="1" applyFill="1" applyBorder="1" applyAlignment="1" applyProtection="1">
      <alignment horizontal="right" vertical="center"/>
      <protection/>
    </xf>
    <xf numFmtId="3" fontId="13" fillId="0" borderId="13" xfId="15" applyNumberFormat="1" applyFont="1" applyFill="1" applyBorder="1" applyAlignment="1" applyProtection="1">
      <alignment horizontal="right" vertical="center"/>
      <protection/>
    </xf>
    <xf numFmtId="0" fontId="1" fillId="0" borderId="0" xfId="15" applyFont="1" applyFill="1" applyAlignment="1" applyProtection="1">
      <alignment horizontal="right" vertical="center"/>
      <protection/>
    </xf>
    <xf numFmtId="3" fontId="13" fillId="0" borderId="13" xfId="16" applyNumberFormat="1" applyFont="1" applyFill="1" applyBorder="1" applyAlignment="1" applyProtection="1">
      <alignment horizontal="center" vertical="center"/>
      <protection locked="0"/>
    </xf>
    <xf numFmtId="3" fontId="13" fillId="0" borderId="12" xfId="16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3" fontId="13" fillId="0" borderId="11" xfId="15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Fill="1" applyAlignment="1">
      <alignment horizontal="center" vertical="center"/>
    </xf>
    <xf numFmtId="3" fontId="16" fillId="0" borderId="12" xfId="15" applyNumberFormat="1" applyFont="1" applyFill="1" applyBorder="1" applyAlignment="1" applyProtection="1">
      <alignment horizontal="center" vertical="center"/>
      <protection/>
    </xf>
    <xf numFmtId="3" fontId="0" fillId="0" borderId="10" xfId="15" applyNumberFormat="1" applyFont="1" applyFill="1" applyBorder="1" applyAlignment="1" applyProtection="1">
      <alignment horizontal="center" vertical="center"/>
      <protection/>
    </xf>
    <xf numFmtId="3" fontId="2" fillId="24" borderId="10" xfId="15" applyNumberFormat="1" applyFont="1" applyFill="1" applyBorder="1" applyAlignment="1" applyProtection="1">
      <alignment horizontal="center" vertical="center"/>
      <protection/>
    </xf>
    <xf numFmtId="0" fontId="3" fillId="24" borderId="0" xfId="15" applyFont="1" applyFill="1" applyBorder="1" applyAlignment="1" applyProtection="1">
      <alignment vertical="center"/>
      <protection/>
    </xf>
    <xf numFmtId="0" fontId="1" fillId="24" borderId="0" xfId="15" applyFont="1" applyFill="1" applyBorder="1" applyAlignment="1" applyProtection="1">
      <alignment horizontal="center" vertical="center"/>
      <protection/>
    </xf>
    <xf numFmtId="3" fontId="13" fillId="24" borderId="10" xfId="0" applyNumberFormat="1" applyFont="1" applyFill="1" applyBorder="1" applyAlignment="1">
      <alignment horizontal="center" vertical="center"/>
    </xf>
    <xf numFmtId="1" fontId="7" fillId="24" borderId="0" xfId="15" applyNumberFormat="1" applyFont="1" applyFill="1" applyBorder="1" applyAlignment="1" applyProtection="1">
      <alignment horizontal="center" vertical="center"/>
      <protection/>
    </xf>
    <xf numFmtId="3" fontId="4" fillId="0" borderId="10" xfId="15" applyNumberFormat="1" applyFont="1" applyFill="1" applyBorder="1" applyAlignment="1" applyProtection="1">
      <alignment horizontal="center" vertical="center"/>
      <protection/>
    </xf>
    <xf numFmtId="3" fontId="13" fillId="0" borderId="0" xfId="15" applyNumberFormat="1" applyFont="1" applyFill="1" applyBorder="1" applyAlignment="1" applyProtection="1">
      <alignment horizontal="center" vertical="center"/>
      <protection/>
    </xf>
    <xf numFmtId="3" fontId="2" fillId="0" borderId="0" xfId="15" applyNumberFormat="1" applyFont="1" applyFill="1" applyBorder="1" applyAlignment="1" applyProtection="1">
      <alignment horizontal="center" vertical="center"/>
      <protection locked="0"/>
    </xf>
    <xf numFmtId="3" fontId="13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" fontId="0" fillId="24" borderId="10" xfId="15" applyNumberFormat="1" applyFont="1" applyFill="1" applyBorder="1" applyAlignment="1" applyProtection="1">
      <alignment horizontal="center" vertical="center"/>
      <protection/>
    </xf>
    <xf numFmtId="3" fontId="13" fillId="25" borderId="12" xfId="16" applyNumberFormat="1" applyFont="1" applyFill="1" applyBorder="1" applyAlignment="1" applyProtection="1">
      <alignment horizontal="center" vertical="center"/>
      <protection/>
    </xf>
    <xf numFmtId="3" fontId="13" fillId="25" borderId="13" xfId="16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>
      <alignment horizontal="center" vertical="center"/>
    </xf>
    <xf numFmtId="3" fontId="13" fillId="0" borderId="25" xfId="16" applyNumberFormat="1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" fontId="13" fillId="0" borderId="26" xfId="15" applyNumberFormat="1" applyFont="1" applyFill="1" applyBorder="1" applyAlignment="1" applyProtection="1">
      <alignment horizontal="center" vertical="center"/>
      <protection/>
    </xf>
    <xf numFmtId="3" fontId="13" fillId="0" borderId="25" xfId="15" applyNumberFormat="1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15" applyFont="1" applyFill="1" applyAlignment="1" applyProtection="1">
      <alignment horizontal="left" vertical="center"/>
      <protection/>
    </xf>
    <xf numFmtId="0" fontId="7" fillId="24" borderId="0" xfId="15" applyFont="1" applyFill="1" applyBorder="1" applyAlignment="1" applyProtection="1">
      <alignment horizontal="center" vertical="center"/>
      <protection/>
    </xf>
    <xf numFmtId="2" fontId="13" fillId="24" borderId="0" xfId="0" applyNumberFormat="1" applyFont="1" applyFill="1" applyBorder="1" applyAlignment="1">
      <alignment vertical="center" wrapText="1"/>
    </xf>
    <xf numFmtId="2" fontId="13" fillId="0" borderId="0" xfId="15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>
      <alignment horizontal="center" vertical="top" wrapText="1"/>
    </xf>
    <xf numFmtId="0" fontId="13" fillId="0" borderId="0" xfId="15" applyFont="1" applyFill="1" applyAlignment="1" applyProtection="1">
      <alignment horizontal="center" vertical="top"/>
      <protection locked="0"/>
    </xf>
    <xf numFmtId="3" fontId="13" fillId="0" borderId="0" xfId="15" applyNumberFormat="1" applyFont="1" applyFill="1" applyAlignment="1" applyProtection="1">
      <alignment horizontal="center" vertical="top"/>
      <protection locked="0"/>
    </xf>
    <xf numFmtId="3" fontId="13" fillId="0" borderId="25" xfId="16" applyNumberFormat="1" applyFont="1" applyFill="1" applyBorder="1" applyAlignment="1" applyProtection="1">
      <alignment horizontal="center" vertical="center"/>
      <protection/>
    </xf>
    <xf numFmtId="3" fontId="13" fillId="0" borderId="12" xfId="16" applyNumberFormat="1" applyFont="1" applyFill="1" applyBorder="1" applyAlignment="1" applyProtection="1" quotePrefix="1">
      <alignment horizontal="center" vertical="center"/>
      <protection/>
    </xf>
    <xf numFmtId="3" fontId="13" fillId="0" borderId="27" xfId="16" applyNumberFormat="1" applyFont="1" applyFill="1" applyBorder="1" applyAlignment="1" applyProtection="1">
      <alignment horizontal="center" vertical="center"/>
      <protection/>
    </xf>
    <xf numFmtId="3" fontId="13" fillId="0" borderId="13" xfId="16" applyNumberFormat="1" applyFont="1" applyFill="1" applyBorder="1" applyAlignment="1" applyProtection="1">
      <alignment horizontal="center" vertical="center"/>
      <protection/>
    </xf>
    <xf numFmtId="3" fontId="13" fillId="0" borderId="12" xfId="16" applyNumberFormat="1" applyFont="1" applyFill="1" applyBorder="1" applyAlignment="1" applyProtection="1">
      <alignment horizontal="center" vertical="center"/>
      <protection/>
    </xf>
    <xf numFmtId="3" fontId="4" fillId="0" borderId="0" xfId="15" applyNumberFormat="1" applyFont="1" applyFill="1" applyBorder="1" applyAlignment="1" applyProtection="1">
      <alignment horizontal="left" vertical="center"/>
      <protection/>
    </xf>
    <xf numFmtId="3" fontId="6" fillId="24" borderId="13" xfId="15" applyNumberFormat="1" applyFont="1" applyFill="1" applyBorder="1" applyAlignment="1" applyProtection="1">
      <alignment horizontal="center" vertical="center"/>
      <protection/>
    </xf>
    <xf numFmtId="3" fontId="0" fillId="24" borderId="12" xfId="15" applyNumberFormat="1" applyFont="1" applyFill="1" applyBorder="1" applyAlignment="1" applyProtection="1">
      <alignment horizontal="center" vertical="center"/>
      <protection/>
    </xf>
    <xf numFmtId="3" fontId="13" fillId="24" borderId="12" xfId="16" applyNumberFormat="1" applyFont="1" applyFill="1" applyBorder="1" applyAlignment="1" applyProtection="1">
      <alignment horizontal="center" vertical="center" wrapText="1"/>
      <protection/>
    </xf>
    <xf numFmtId="3" fontId="13" fillId="24" borderId="13" xfId="16" applyNumberFormat="1" applyFont="1" applyFill="1" applyBorder="1" applyAlignment="1" applyProtection="1">
      <alignment horizontal="center" vertical="center" wrapText="1"/>
      <protection/>
    </xf>
    <xf numFmtId="3" fontId="13" fillId="0" borderId="11" xfId="44" applyNumberFormat="1" applyFont="1" applyFill="1" applyBorder="1" applyAlignment="1" applyProtection="1">
      <alignment horizontal="center" vertical="center"/>
      <protection/>
    </xf>
    <xf numFmtId="3" fontId="13" fillId="0" borderId="12" xfId="44" applyNumberFormat="1" applyFont="1" applyFill="1" applyBorder="1" applyAlignment="1" applyProtection="1">
      <alignment horizontal="center" vertical="center"/>
      <protection/>
    </xf>
    <xf numFmtId="3" fontId="13" fillId="0" borderId="13" xfId="44" applyNumberFormat="1" applyFont="1" applyFill="1" applyBorder="1" applyAlignment="1" applyProtection="1">
      <alignment horizontal="center" vertical="center"/>
      <protection/>
    </xf>
    <xf numFmtId="0" fontId="13" fillId="24" borderId="0" xfId="0" applyFont="1" applyFill="1" applyBorder="1" applyAlignment="1">
      <alignment/>
    </xf>
    <xf numFmtId="0" fontId="13" fillId="0" borderId="19" xfId="15" applyFont="1" applyFill="1" applyBorder="1" applyAlignment="1" applyProtection="1">
      <alignment horizontal="center" vertical="center"/>
      <protection/>
    </xf>
    <xf numFmtId="0" fontId="13" fillId="0" borderId="10" xfId="15" applyFont="1" applyFill="1" applyBorder="1" applyAlignment="1" applyProtection="1">
      <alignment horizontal="center" vertical="center"/>
      <protection/>
    </xf>
    <xf numFmtId="0" fontId="13" fillId="0" borderId="22" xfId="15" applyFont="1" applyFill="1" applyBorder="1" applyAlignment="1" applyProtection="1">
      <alignment horizontal="center" vertical="center"/>
      <protection/>
    </xf>
    <xf numFmtId="3" fontId="19" fillId="24" borderId="11" xfId="15" applyNumberFormat="1" applyFont="1" applyFill="1" applyBorder="1" applyAlignment="1" applyProtection="1">
      <alignment horizontal="center" vertical="center"/>
      <protection/>
    </xf>
    <xf numFmtId="3" fontId="13" fillId="0" borderId="13" xfId="16" applyNumberFormat="1" applyFont="1" applyFill="1" applyBorder="1" applyAlignment="1" applyProtection="1" quotePrefix="1">
      <alignment horizontal="center" vertical="center"/>
      <protection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16" applyFont="1" applyFill="1" applyAlignment="1" applyProtection="1">
      <alignment horizontal="center" vertical="center"/>
      <protection locked="0"/>
    </xf>
    <xf numFmtId="0" fontId="7" fillId="0" borderId="0" xfId="15" applyFont="1" applyFill="1" applyBorder="1" applyAlignment="1" applyProtection="1">
      <alignment horizontal="center" vertical="center"/>
      <protection/>
    </xf>
    <xf numFmtId="4" fontId="13" fillId="0" borderId="10" xfId="15" applyNumberFormat="1" applyFont="1" applyFill="1" applyBorder="1" applyAlignment="1" applyProtection="1">
      <alignment horizontal="center" vertical="center"/>
      <protection/>
    </xf>
    <xf numFmtId="0" fontId="2" fillId="0" borderId="12" xfId="15" applyFont="1" applyFill="1" applyBorder="1" applyAlignment="1" applyProtection="1">
      <alignment horizontal="center" vertical="center"/>
      <protection locked="0"/>
    </xf>
    <xf numFmtId="0" fontId="2" fillId="0" borderId="25" xfId="15" applyFont="1" applyFill="1" applyBorder="1" applyAlignment="1" applyProtection="1">
      <alignment horizontal="center" vertical="center"/>
      <protection locked="0"/>
    </xf>
    <xf numFmtId="0" fontId="2" fillId="24" borderId="0" xfId="16" applyFont="1" applyFill="1" applyAlignment="1" applyProtection="1">
      <alignment horizontal="left" vertical="center"/>
      <protection locked="0"/>
    </xf>
    <xf numFmtId="3" fontId="13" fillId="0" borderId="0" xfId="0" applyNumberFormat="1" applyFont="1" applyFill="1" applyBorder="1" applyAlignment="1">
      <alignment/>
    </xf>
    <xf numFmtId="0" fontId="15" fillId="0" borderId="0" xfId="15" applyFont="1" applyFill="1" applyAlignment="1" applyProtection="1">
      <alignment vertical="top"/>
      <protection/>
    </xf>
    <xf numFmtId="3" fontId="7" fillId="0" borderId="20" xfId="15" applyNumberFormat="1" applyFont="1" applyFill="1" applyBorder="1" applyAlignment="1" applyProtection="1">
      <alignment horizontal="center" vertical="top"/>
      <protection/>
    </xf>
    <xf numFmtId="3" fontId="7" fillId="0" borderId="21" xfId="15" applyNumberFormat="1" applyFont="1" applyFill="1" applyBorder="1" applyAlignment="1" applyProtection="1">
      <alignment horizontal="center" vertical="top"/>
      <protection/>
    </xf>
    <xf numFmtId="0" fontId="7" fillId="24" borderId="0" xfId="15" applyFont="1" applyFill="1" applyBorder="1" applyAlignment="1" applyProtection="1">
      <alignment vertical="center"/>
      <protection/>
    </xf>
    <xf numFmtId="0" fontId="8" fillId="24" borderId="0" xfId="15" applyFont="1" applyFill="1" applyBorder="1" applyAlignment="1" applyProtection="1">
      <alignment horizontal="left" vertical="center"/>
      <protection/>
    </xf>
    <xf numFmtId="4" fontId="1" fillId="0" borderId="10" xfId="15" applyNumberFormat="1" applyFont="1" applyFill="1" applyBorder="1" applyAlignment="1" applyProtection="1">
      <alignment horizontal="center" vertical="center"/>
      <protection/>
    </xf>
    <xf numFmtId="3" fontId="7" fillId="24" borderId="0" xfId="15" applyNumberFormat="1" applyFont="1" applyFill="1" applyBorder="1" applyAlignment="1" applyProtection="1">
      <alignment horizontal="center" vertical="center"/>
      <protection/>
    </xf>
    <xf numFmtId="0" fontId="7" fillId="24" borderId="0" xfId="15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6" fillId="0" borderId="12" xfId="15" applyNumberFormat="1" applyFont="1" applyFill="1" applyBorder="1" applyAlignment="1" applyProtection="1">
      <alignment horizontal="center" vertical="center"/>
      <protection/>
    </xf>
    <xf numFmtId="3" fontId="16" fillId="0" borderId="13" xfId="15" applyNumberFormat="1" applyFont="1" applyFill="1" applyBorder="1" applyAlignment="1" applyProtection="1">
      <alignment horizontal="center" vertical="center"/>
      <protection/>
    </xf>
    <xf numFmtId="3" fontId="16" fillId="0" borderId="11" xfId="15" applyNumberFormat="1" applyFont="1" applyFill="1" applyBorder="1" applyAlignment="1" applyProtection="1">
      <alignment horizontal="center" vertical="center"/>
      <protection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3" fontId="0" fillId="24" borderId="11" xfId="15" applyNumberFormat="1" applyFont="1" applyFill="1" applyBorder="1" applyAlignment="1" applyProtection="1">
      <alignment horizontal="center" vertical="center"/>
      <protection/>
    </xf>
    <xf numFmtId="3" fontId="16" fillId="0" borderId="11" xfId="15" applyNumberFormat="1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3" fontId="6" fillId="24" borderId="10" xfId="15" applyNumberFormat="1" applyFont="1" applyFill="1" applyBorder="1" applyAlignment="1" applyProtection="1">
      <alignment horizontal="center" vertical="center"/>
      <protection/>
    </xf>
    <xf numFmtId="2" fontId="7" fillId="0" borderId="19" xfId="15" applyNumberFormat="1" applyFont="1" applyFill="1" applyBorder="1" applyAlignment="1" applyProtection="1">
      <alignment horizontal="center" vertical="center"/>
      <protection/>
    </xf>
    <xf numFmtId="2" fontId="7" fillId="0" borderId="20" xfId="15" applyNumberFormat="1" applyFont="1" applyFill="1" applyBorder="1" applyAlignment="1" applyProtection="1">
      <alignment horizontal="center" vertical="center"/>
      <protection/>
    </xf>
    <xf numFmtId="2" fontId="7" fillId="0" borderId="10" xfId="15" applyNumberFormat="1" applyFont="1" applyFill="1" applyBorder="1" applyAlignment="1" applyProtection="1">
      <alignment horizontal="center" vertical="center"/>
      <protection/>
    </xf>
    <xf numFmtId="2" fontId="7" fillId="0" borderId="21" xfId="15" applyNumberFormat="1" applyFont="1" applyFill="1" applyBorder="1" applyAlignment="1" applyProtection="1">
      <alignment horizontal="center" vertical="center"/>
      <protection/>
    </xf>
    <xf numFmtId="2" fontId="7" fillId="0" borderId="22" xfId="15" applyNumberFormat="1" applyFont="1" applyFill="1" applyBorder="1" applyAlignment="1" applyProtection="1">
      <alignment horizontal="center" vertical="center"/>
      <protection/>
    </xf>
    <xf numFmtId="2" fontId="7" fillId="0" borderId="23" xfId="15" applyNumberFormat="1" applyFont="1" applyFill="1" applyBorder="1" applyAlignment="1" applyProtection="1">
      <alignment horizontal="center" vertical="center"/>
      <protection/>
    </xf>
    <xf numFmtId="3" fontId="7" fillId="0" borderId="0" xfId="15" applyNumberFormat="1" applyFont="1" applyFill="1" applyAlignment="1" applyProtection="1">
      <alignment horizontal="center" vertical="center"/>
      <protection locked="0"/>
    </xf>
    <xf numFmtId="3" fontId="1" fillId="24" borderId="0" xfId="15" applyNumberFormat="1" applyFont="1" applyFill="1" applyBorder="1" applyAlignment="1" applyProtection="1">
      <alignment horizontal="center" vertical="center"/>
      <protection locked="0"/>
    </xf>
    <xf numFmtId="3" fontId="13" fillId="0" borderId="0" xfId="15" applyNumberFormat="1" applyFont="1" applyFill="1" applyBorder="1" applyAlignment="1" applyProtection="1">
      <alignment horizontal="center" vertical="center"/>
      <protection locked="0"/>
    </xf>
    <xf numFmtId="1" fontId="13" fillId="0" borderId="0" xfId="15" applyNumberFormat="1" applyFont="1" applyFill="1" applyBorder="1" applyAlignment="1" applyProtection="1">
      <alignment horizontal="center" vertical="center"/>
      <protection locked="0"/>
    </xf>
    <xf numFmtId="0" fontId="7" fillId="0" borderId="0" xfId="15" applyFont="1" applyFill="1" applyBorder="1" applyAlignment="1" applyProtection="1">
      <alignment horizontal="center" vertical="top"/>
      <protection locked="0"/>
    </xf>
    <xf numFmtId="0" fontId="13" fillId="0" borderId="0" xfId="15" applyFont="1" applyFill="1" applyAlignment="1" applyProtection="1">
      <alignment horizontal="center"/>
      <protection locked="0"/>
    </xf>
    <xf numFmtId="0" fontId="13" fillId="24" borderId="28" xfId="15" applyFont="1" applyFill="1" applyBorder="1" applyAlignment="1" applyProtection="1">
      <alignment horizontal="center" vertical="center" wrapText="1"/>
      <protection locked="0"/>
    </xf>
    <xf numFmtId="1" fontId="7" fillId="0" borderId="0" xfId="15" applyNumberFormat="1" applyFont="1" applyFill="1" applyBorder="1" applyAlignment="1" applyProtection="1">
      <alignment horizontal="center" vertical="center"/>
      <protection/>
    </xf>
    <xf numFmtId="3" fontId="13" fillId="24" borderId="12" xfId="15" applyNumberFormat="1" applyFont="1" applyFill="1" applyBorder="1" applyAlignment="1" applyProtection="1" quotePrefix="1">
      <alignment horizontal="center" vertical="center"/>
      <protection/>
    </xf>
    <xf numFmtId="0" fontId="8" fillId="24" borderId="0" xfId="16" applyFont="1" applyFill="1" applyAlignment="1" applyProtection="1">
      <alignment horizontal="left" vertical="top"/>
      <protection/>
    </xf>
    <xf numFmtId="0" fontId="13" fillId="0" borderId="0" xfId="15" applyFont="1" applyFill="1" applyBorder="1" applyAlignment="1" applyProtection="1">
      <alignment horizontal="center" vertical="center"/>
      <protection/>
    </xf>
    <xf numFmtId="0" fontId="1" fillId="24" borderId="0" xfId="16" applyFont="1" applyFill="1" applyBorder="1" applyAlignment="1" applyProtection="1">
      <alignment horizontal="left" vertical="center"/>
      <protection locked="0"/>
    </xf>
    <xf numFmtId="3" fontId="13" fillId="25" borderId="13" xfId="16" applyNumberFormat="1" applyFont="1" applyFill="1" applyBorder="1" applyAlignment="1" applyProtection="1">
      <alignment horizontal="center" vertical="center"/>
      <protection locked="0"/>
    </xf>
    <xf numFmtId="0" fontId="2" fillId="24" borderId="0" xfId="15" applyFont="1" applyFill="1" applyBorder="1" applyAlignment="1" applyProtection="1">
      <alignment horizontal="center" vertical="center"/>
      <protection/>
    </xf>
    <xf numFmtId="0" fontId="2" fillId="24" borderId="0" xfId="16" applyFont="1" applyFill="1" applyBorder="1" applyAlignment="1" applyProtection="1">
      <alignment horizontal="center" vertical="center"/>
      <protection/>
    </xf>
    <xf numFmtId="0" fontId="2" fillId="0" borderId="0" xfId="15" applyFont="1" applyFill="1" applyBorder="1" applyAlignment="1" applyProtection="1">
      <alignment horizontal="center" vertical="center"/>
      <protection/>
    </xf>
    <xf numFmtId="0" fontId="2" fillId="24" borderId="0" xfId="15" applyFont="1" applyFill="1" applyBorder="1" applyAlignment="1" applyProtection="1">
      <alignment horizontal="left" vertical="center"/>
      <protection/>
    </xf>
    <xf numFmtId="3" fontId="0" fillId="0" borderId="19" xfId="15" applyNumberFormat="1" applyFont="1" applyFill="1" applyBorder="1" applyAlignment="1" applyProtection="1">
      <alignment horizontal="center" vertical="center"/>
      <protection/>
    </xf>
    <xf numFmtId="3" fontId="0" fillId="0" borderId="22" xfId="15" applyNumberFormat="1" applyFont="1" applyFill="1" applyBorder="1" applyAlignment="1" applyProtection="1">
      <alignment horizontal="center" vertical="center"/>
      <protection/>
    </xf>
    <xf numFmtId="3" fontId="2" fillId="0" borderId="0" xfId="15" applyNumberFormat="1" applyFont="1" applyFill="1" applyBorder="1" applyAlignment="1" applyProtection="1">
      <alignment horizontal="center" vertical="center"/>
      <protection/>
    </xf>
    <xf numFmtId="3" fontId="6" fillId="24" borderId="11" xfId="15" applyNumberFormat="1" applyFont="1" applyFill="1" applyBorder="1" applyAlignment="1" applyProtection="1">
      <alignment horizontal="center" vertical="center"/>
      <protection/>
    </xf>
    <xf numFmtId="1" fontId="13" fillId="0" borderId="0" xfId="15" applyNumberFormat="1" applyFont="1" applyFill="1" applyBorder="1" applyAlignment="1" applyProtection="1">
      <alignment horizontal="center" vertical="center"/>
      <protection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3" fillId="24" borderId="0" xfId="0" applyFont="1" applyFill="1" applyAlignment="1">
      <alignment/>
    </xf>
    <xf numFmtId="3" fontId="0" fillId="24" borderId="13" xfId="15" applyNumberFormat="1" applyFont="1" applyFill="1" applyBorder="1" applyAlignment="1" applyProtection="1">
      <alignment horizontal="center" vertical="center"/>
      <protection/>
    </xf>
    <xf numFmtId="4" fontId="13" fillId="24" borderId="0" xfId="15" applyNumberFormat="1" applyFont="1" applyFill="1" applyBorder="1" applyAlignment="1" applyProtection="1">
      <alignment horizontal="center" vertical="center"/>
      <protection/>
    </xf>
    <xf numFmtId="3" fontId="0" fillId="0" borderId="11" xfId="15" applyNumberFormat="1" applyFont="1" applyFill="1" applyBorder="1" applyAlignment="1" applyProtection="1">
      <alignment horizontal="center" vertical="center"/>
      <protection/>
    </xf>
    <xf numFmtId="3" fontId="6" fillId="0" borderId="19" xfId="15" applyNumberFormat="1" applyFont="1" applyFill="1" applyBorder="1" applyAlignment="1" applyProtection="1">
      <alignment horizontal="center" vertical="center"/>
      <protection/>
    </xf>
    <xf numFmtId="3" fontId="6" fillId="0" borderId="10" xfId="15" applyNumberFormat="1" applyFont="1" applyFill="1" applyBorder="1" applyAlignment="1" applyProtection="1">
      <alignment horizontal="center" vertical="center"/>
      <protection/>
    </xf>
    <xf numFmtId="0" fontId="0" fillId="0" borderId="22" xfId="15" applyFont="1" applyFill="1" applyBorder="1" applyAlignment="1" applyProtection="1">
      <alignment horizontal="center" vertical="center"/>
      <protection/>
    </xf>
    <xf numFmtId="3" fontId="6" fillId="0" borderId="22" xfId="15" applyNumberFormat="1" applyFont="1" applyFill="1" applyBorder="1" applyAlignment="1" applyProtection="1">
      <alignment horizontal="center" vertical="center"/>
      <protection/>
    </xf>
    <xf numFmtId="3" fontId="16" fillId="0" borderId="29" xfId="0" applyNumberFormat="1" applyFont="1" applyFill="1" applyBorder="1" applyAlignment="1">
      <alignment horizontal="center" vertical="center"/>
    </xf>
    <xf numFmtId="3" fontId="7" fillId="0" borderId="0" xfId="15" applyNumberFormat="1" applyFont="1" applyFill="1" applyBorder="1" applyAlignment="1" applyProtection="1">
      <alignment horizontal="center" vertical="center"/>
      <protection/>
    </xf>
    <xf numFmtId="3" fontId="3" fillId="0" borderId="10" xfId="15" applyNumberFormat="1" applyFont="1" applyFill="1" applyBorder="1" applyAlignment="1" applyProtection="1">
      <alignment horizontal="center" vertical="center"/>
      <protection/>
    </xf>
    <xf numFmtId="3" fontId="19" fillId="0" borderId="19" xfId="15" applyNumberFormat="1" applyFont="1" applyFill="1" applyBorder="1" applyAlignment="1" applyProtection="1">
      <alignment horizontal="center" vertical="center"/>
      <protection/>
    </xf>
    <xf numFmtId="3" fontId="19" fillId="0" borderId="22" xfId="15" applyNumberFormat="1" applyFont="1" applyFill="1" applyBorder="1" applyAlignment="1" applyProtection="1">
      <alignment horizontal="center" vertical="center"/>
      <protection/>
    </xf>
    <xf numFmtId="3" fontId="19" fillId="0" borderId="10" xfId="15" applyNumberFormat="1" applyFont="1" applyFill="1" applyBorder="1" applyAlignment="1" applyProtection="1">
      <alignment horizontal="center" vertical="center"/>
      <protection/>
    </xf>
    <xf numFmtId="3" fontId="16" fillId="0" borderId="27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3" fontId="13" fillId="0" borderId="25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27" xfId="0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4" fontId="7" fillId="24" borderId="10" xfId="0" applyNumberFormat="1" applyFont="1" applyFill="1" applyBorder="1" applyAlignment="1">
      <alignment horizontal="center" vertical="center"/>
    </xf>
    <xf numFmtId="0" fontId="7" fillId="24" borderId="0" xfId="15" applyFont="1" applyFill="1" applyAlignment="1" applyProtection="1">
      <alignment horizontal="center" vertical="center"/>
      <protection locked="0"/>
    </xf>
    <xf numFmtId="0" fontId="4" fillId="0" borderId="10" xfId="15" applyFont="1" applyFill="1" applyBorder="1" applyAlignment="1" applyProtection="1">
      <alignment horizontal="center" vertical="center" wrapText="1"/>
      <protection/>
    </xf>
    <xf numFmtId="0" fontId="1" fillId="24" borderId="0" xfId="15" applyFont="1" applyFill="1" applyAlignment="1" applyProtection="1">
      <alignment horizontal="center" vertical="center"/>
      <protection/>
    </xf>
    <xf numFmtId="0" fontId="3" fillId="24" borderId="15" xfId="15" applyFont="1" applyFill="1" applyBorder="1" applyAlignment="1" applyProtection="1">
      <alignment horizontal="center" vertical="center" wrapText="1"/>
      <protection/>
    </xf>
    <xf numFmtId="0" fontId="3" fillId="24" borderId="14" xfId="15" applyFont="1" applyFill="1" applyBorder="1" applyAlignment="1" applyProtection="1">
      <alignment horizontal="center" vertical="center" wrapText="1"/>
      <protection/>
    </xf>
    <xf numFmtId="0" fontId="3" fillId="24" borderId="30" xfId="15" applyFont="1" applyFill="1" applyBorder="1" applyAlignment="1" applyProtection="1">
      <alignment horizontal="center" vertical="center" wrapText="1"/>
      <protection/>
    </xf>
    <xf numFmtId="0" fontId="7" fillId="0" borderId="30" xfId="15" applyFont="1" applyFill="1" applyBorder="1" applyAlignment="1" applyProtection="1">
      <alignment horizontal="center" vertical="center" wrapText="1"/>
      <protection/>
    </xf>
    <xf numFmtId="0" fontId="7" fillId="24" borderId="10" xfId="15" applyFont="1" applyFill="1" applyBorder="1" applyAlignment="1" applyProtection="1">
      <alignment horizontal="center" vertical="center"/>
      <protection/>
    </xf>
    <xf numFmtId="0" fontId="1" fillId="24" borderId="10" xfId="15" applyFont="1" applyFill="1" applyBorder="1" applyAlignment="1" applyProtection="1">
      <alignment horizontal="center" vertical="center"/>
      <protection/>
    </xf>
    <xf numFmtId="0" fontId="3" fillId="24" borderId="10" xfId="15" applyFont="1" applyFill="1" applyBorder="1" applyAlignment="1" applyProtection="1">
      <alignment horizontal="center" vertical="center" wrapText="1"/>
      <protection/>
    </xf>
    <xf numFmtId="0" fontId="3" fillId="24" borderId="11" xfId="15" applyFont="1" applyFill="1" applyBorder="1" applyAlignment="1" applyProtection="1">
      <alignment horizontal="center" vertical="center" wrapText="1"/>
      <protection/>
    </xf>
    <xf numFmtId="0" fontId="3" fillId="24" borderId="12" xfId="15" applyFont="1" applyFill="1" applyBorder="1" applyAlignment="1" applyProtection="1">
      <alignment horizontal="center" vertical="center" wrapText="1"/>
      <protection/>
    </xf>
    <xf numFmtId="0" fontId="3" fillId="24" borderId="13" xfId="15" applyFont="1" applyFill="1" applyBorder="1" applyAlignment="1" applyProtection="1">
      <alignment horizontal="center" vertical="center" wrapText="1"/>
      <protection/>
    </xf>
    <xf numFmtId="0" fontId="13" fillId="24" borderId="10" xfId="15" applyFont="1" applyFill="1" applyBorder="1" applyAlignment="1" applyProtection="1">
      <alignment horizontal="center" vertical="center" wrapText="1"/>
      <protection locked="0"/>
    </xf>
    <xf numFmtId="0" fontId="7" fillId="24" borderId="12" xfId="15" applyFont="1" applyFill="1" applyBorder="1" applyAlignment="1" applyProtection="1">
      <alignment horizontal="center" vertical="center" wrapText="1"/>
      <protection/>
    </xf>
    <xf numFmtId="0" fontId="7" fillId="0" borderId="15" xfId="15" applyFont="1" applyFill="1" applyBorder="1" applyAlignment="1" applyProtection="1">
      <alignment horizontal="center" vertical="center" wrapText="1"/>
      <protection/>
    </xf>
    <xf numFmtId="0" fontId="7" fillId="0" borderId="14" xfId="15" applyFont="1" applyFill="1" applyBorder="1" applyAlignment="1" applyProtection="1">
      <alignment horizontal="center" vertical="center" wrapText="1"/>
      <protection/>
    </xf>
    <xf numFmtId="0" fontId="13" fillId="24" borderId="10" xfId="15" applyFont="1" applyFill="1" applyBorder="1" applyAlignment="1" applyProtection="1">
      <alignment horizontal="center" vertical="center"/>
      <protection locked="0"/>
    </xf>
    <xf numFmtId="0" fontId="7" fillId="24" borderId="11" xfId="15" applyFont="1" applyFill="1" applyBorder="1" applyAlignment="1" applyProtection="1">
      <alignment horizontal="center" vertical="center" wrapText="1"/>
      <protection/>
    </xf>
    <xf numFmtId="0" fontId="7" fillId="24" borderId="13" xfId="15" applyFont="1" applyFill="1" applyBorder="1" applyAlignment="1" applyProtection="1">
      <alignment horizontal="center" vertical="center" wrapText="1"/>
      <protection/>
    </xf>
    <xf numFmtId="0" fontId="7" fillId="24" borderId="10" xfId="15" applyFont="1" applyFill="1" applyBorder="1" applyAlignment="1" applyProtection="1">
      <alignment horizontal="center" vertical="center" wrapText="1"/>
      <protection/>
    </xf>
    <xf numFmtId="0" fontId="7" fillId="0" borderId="10" xfId="15" applyFont="1" applyFill="1" applyBorder="1" applyAlignment="1" applyProtection="1">
      <alignment horizontal="center" vertical="center" wrapText="1"/>
      <protection/>
    </xf>
    <xf numFmtId="0" fontId="7" fillId="24" borderId="15" xfId="15" applyFont="1" applyFill="1" applyBorder="1" applyAlignment="1" applyProtection="1">
      <alignment horizontal="center" vertical="center" wrapText="1"/>
      <protection/>
    </xf>
    <xf numFmtId="0" fontId="7" fillId="24" borderId="14" xfId="15" applyFont="1" applyFill="1" applyBorder="1" applyAlignment="1" applyProtection="1">
      <alignment horizontal="center" vertical="center" wrapText="1"/>
      <protection/>
    </xf>
    <xf numFmtId="0" fontId="7" fillId="24" borderId="30" xfId="15" applyFont="1" applyFill="1" applyBorder="1" applyAlignment="1" applyProtection="1">
      <alignment horizontal="center" vertical="center" wrapText="1"/>
      <protection/>
    </xf>
    <xf numFmtId="0" fontId="3" fillId="24" borderId="25" xfId="15" applyFont="1" applyFill="1" applyBorder="1" applyAlignment="1" applyProtection="1">
      <alignment horizontal="center" vertical="center" wrapText="1"/>
      <protection/>
    </xf>
    <xf numFmtId="0" fontId="3" fillId="24" borderId="0" xfId="15" applyFont="1" applyFill="1" applyBorder="1" applyAlignment="1" applyProtection="1">
      <alignment horizontal="center" vertical="center" wrapText="1"/>
      <protection/>
    </xf>
    <xf numFmtId="0" fontId="3" fillId="24" borderId="27" xfId="15" applyFont="1" applyFill="1" applyBorder="1" applyAlignment="1" applyProtection="1">
      <alignment horizontal="center" vertical="center" wrapText="1"/>
      <protection/>
    </xf>
    <xf numFmtId="0" fontId="3" fillId="24" borderId="10" xfId="16" applyFont="1" applyFill="1" applyBorder="1" applyAlignment="1" applyProtection="1">
      <alignment horizontal="center" vertical="center" wrapText="1"/>
      <protection/>
    </xf>
    <xf numFmtId="0" fontId="3" fillId="24" borderId="15" xfId="16" applyFont="1" applyFill="1" applyBorder="1" applyAlignment="1" applyProtection="1">
      <alignment horizontal="center" vertical="center" wrapText="1"/>
      <protection/>
    </xf>
    <xf numFmtId="0" fontId="3" fillId="24" borderId="14" xfId="16" applyFont="1" applyFill="1" applyBorder="1" applyAlignment="1" applyProtection="1">
      <alignment horizontal="center" vertical="center" wrapText="1"/>
      <protection/>
    </xf>
    <xf numFmtId="0" fontId="3" fillId="24" borderId="11" xfId="16" applyFont="1" applyFill="1" applyBorder="1" applyAlignment="1" applyProtection="1">
      <alignment horizontal="center" vertical="center" wrapText="1"/>
      <protection/>
    </xf>
    <xf numFmtId="0" fontId="3" fillId="24" borderId="13" xfId="16" applyFont="1" applyFill="1" applyBorder="1" applyAlignment="1" applyProtection="1">
      <alignment horizontal="center" vertical="center" wrapText="1"/>
      <protection/>
    </xf>
    <xf numFmtId="0" fontId="3" fillId="24" borderId="0" xfId="16" applyFont="1" applyFill="1" applyBorder="1" applyAlignment="1" applyProtection="1">
      <alignment horizontal="center" vertical="center" wrapText="1"/>
      <protection/>
    </xf>
    <xf numFmtId="0" fontId="4" fillId="24" borderId="31" xfId="16" applyFont="1" applyFill="1" applyBorder="1" applyAlignment="1" applyProtection="1">
      <alignment horizontal="center" vertical="center" wrapText="1"/>
      <protection/>
    </xf>
    <xf numFmtId="0" fontId="4" fillId="24" borderId="32" xfId="16" applyFont="1" applyFill="1" applyBorder="1" applyAlignment="1" applyProtection="1">
      <alignment horizontal="center" vertical="center" wrapText="1"/>
      <protection/>
    </xf>
    <xf numFmtId="0" fontId="4" fillId="24" borderId="33" xfId="16" applyFont="1" applyFill="1" applyBorder="1" applyAlignment="1" applyProtection="1">
      <alignment horizontal="center" vertical="center" wrapText="1"/>
      <protection/>
    </xf>
    <xf numFmtId="0" fontId="3" fillId="24" borderId="30" xfId="16" applyFont="1" applyFill="1" applyBorder="1" applyAlignment="1" applyProtection="1">
      <alignment horizontal="center" vertical="center" wrapText="1"/>
      <protection/>
    </xf>
    <xf numFmtId="0" fontId="3" fillId="24" borderId="31" xfId="16" applyFont="1" applyFill="1" applyBorder="1" applyAlignment="1" applyProtection="1">
      <alignment horizontal="center" vertical="center" wrapText="1"/>
      <protection/>
    </xf>
    <xf numFmtId="0" fontId="3" fillId="24" borderId="32" xfId="16" applyFont="1" applyFill="1" applyBorder="1" applyAlignment="1" applyProtection="1">
      <alignment horizontal="center" vertical="center" wrapText="1"/>
      <protection/>
    </xf>
    <xf numFmtId="0" fontId="3" fillId="24" borderId="33" xfId="16" applyFont="1" applyFill="1" applyBorder="1" applyAlignment="1" applyProtection="1">
      <alignment horizontal="center" vertical="center" wrapText="1"/>
      <protection/>
    </xf>
    <xf numFmtId="0" fontId="1" fillId="24" borderId="0" xfId="16" applyFont="1" applyFill="1" applyAlignment="1" applyProtection="1">
      <alignment horizontal="center" vertical="center"/>
      <protection/>
    </xf>
    <xf numFmtId="0" fontId="3" fillId="24" borderId="12" xfId="16" applyFont="1" applyFill="1" applyBorder="1" applyAlignment="1" applyProtection="1">
      <alignment horizontal="center" vertical="center" wrapText="1"/>
      <protection/>
    </xf>
    <xf numFmtId="0" fontId="3" fillId="24" borderId="11" xfId="16" applyFont="1" applyFill="1" applyBorder="1" applyAlignment="1" applyProtection="1">
      <alignment vertical="center" wrapText="1"/>
      <protection/>
    </xf>
    <xf numFmtId="0" fontId="3" fillId="24" borderId="12" xfId="16" applyFont="1" applyFill="1" applyBorder="1" applyAlignment="1" applyProtection="1">
      <alignment vertical="center" wrapText="1"/>
      <protection/>
    </xf>
    <xf numFmtId="0" fontId="3" fillId="24" borderId="13" xfId="16" applyFont="1" applyFill="1" applyBorder="1" applyAlignment="1" applyProtection="1">
      <alignment vertical="center" wrapText="1"/>
      <protection/>
    </xf>
    <xf numFmtId="0" fontId="7" fillId="24" borderId="11" xfId="15" applyFont="1" applyFill="1" applyBorder="1" applyAlignment="1" applyProtection="1">
      <alignment horizontal="center" vertical="center"/>
      <protection locked="0"/>
    </xf>
    <xf numFmtId="0" fontId="7" fillId="24" borderId="13" xfId="15" applyFont="1" applyFill="1" applyBorder="1" applyAlignment="1" applyProtection="1">
      <alignment horizontal="center" vertical="center"/>
      <protection locked="0"/>
    </xf>
    <xf numFmtId="0" fontId="3" fillId="24" borderId="31" xfId="15" applyFont="1" applyFill="1" applyBorder="1" applyAlignment="1" applyProtection="1">
      <alignment horizontal="center" vertical="center" wrapText="1"/>
      <protection/>
    </xf>
    <xf numFmtId="0" fontId="3" fillId="24" borderId="32" xfId="15" applyFont="1" applyFill="1" applyBorder="1" applyAlignment="1" applyProtection="1">
      <alignment horizontal="center" vertical="center" wrapText="1"/>
      <protection/>
    </xf>
    <xf numFmtId="0" fontId="3" fillId="24" borderId="33" xfId="15" applyFont="1" applyFill="1" applyBorder="1" applyAlignment="1" applyProtection="1">
      <alignment horizontal="center" vertical="center" wrapText="1"/>
      <protection/>
    </xf>
    <xf numFmtId="0" fontId="3" fillId="24" borderId="11" xfId="15" applyFont="1" applyFill="1" applyBorder="1" applyAlignment="1" applyProtection="1">
      <alignment horizontal="center" vertical="center"/>
      <protection locked="0"/>
    </xf>
    <xf numFmtId="0" fontId="3" fillId="24" borderId="13" xfId="15" applyFont="1" applyFill="1" applyBorder="1" applyAlignment="1" applyProtection="1">
      <alignment horizontal="center" vertical="center"/>
      <protection locked="0"/>
    </xf>
    <xf numFmtId="0" fontId="4" fillId="24" borderId="15" xfId="15" applyFont="1" applyFill="1" applyBorder="1" applyAlignment="1" applyProtection="1">
      <alignment horizontal="center" vertical="center" wrapText="1"/>
      <protection/>
    </xf>
    <xf numFmtId="0" fontId="4" fillId="24" borderId="14" xfId="15" applyFont="1" applyFill="1" applyBorder="1" applyAlignment="1" applyProtection="1">
      <alignment horizontal="center" vertical="center" wrapText="1"/>
      <protection/>
    </xf>
    <xf numFmtId="0" fontId="4" fillId="24" borderId="30" xfId="15" applyFont="1" applyFill="1" applyBorder="1" applyAlignment="1" applyProtection="1">
      <alignment horizontal="center" vertical="center" wrapText="1"/>
      <protection/>
    </xf>
    <xf numFmtId="0" fontId="3" fillId="0" borderId="10" xfId="15" applyFont="1" applyFill="1" applyBorder="1" applyAlignment="1" applyProtection="1">
      <alignment horizontal="center" vertical="center" wrapText="1"/>
      <protection/>
    </xf>
    <xf numFmtId="0" fontId="2" fillId="24" borderId="0" xfId="15" applyFont="1" applyFill="1" applyBorder="1" applyAlignment="1" applyProtection="1">
      <alignment horizontal="center" vertical="center"/>
      <protection locked="0"/>
    </xf>
    <xf numFmtId="0" fontId="3" fillId="0" borderId="11" xfId="15" applyFont="1" applyFill="1" applyBorder="1" applyAlignment="1" applyProtection="1">
      <alignment horizontal="center" vertical="center" wrapText="1"/>
      <protection/>
    </xf>
    <xf numFmtId="0" fontId="3" fillId="0" borderId="12" xfId="15" applyFont="1" applyFill="1" applyBorder="1" applyAlignment="1" applyProtection="1">
      <alignment horizontal="center" vertical="center" wrapText="1"/>
      <protection/>
    </xf>
    <xf numFmtId="0" fontId="3" fillId="0" borderId="13" xfId="15" applyFont="1" applyFill="1" applyBorder="1" applyAlignment="1" applyProtection="1">
      <alignment horizontal="center" vertical="center" wrapText="1"/>
      <protection/>
    </xf>
    <xf numFmtId="0" fontId="3" fillId="0" borderId="15" xfId="15" applyFont="1" applyFill="1" applyBorder="1" applyAlignment="1" applyProtection="1">
      <alignment horizontal="center" vertical="center" wrapText="1"/>
      <protection/>
    </xf>
    <xf numFmtId="0" fontId="3" fillId="0" borderId="14" xfId="15" applyFont="1" applyFill="1" applyBorder="1" applyAlignment="1" applyProtection="1">
      <alignment horizontal="center" vertical="center" wrapText="1"/>
      <protection/>
    </xf>
    <xf numFmtId="0" fontId="1" fillId="0" borderId="10" xfId="15" applyFont="1" applyFill="1" applyBorder="1" applyAlignment="1" applyProtection="1">
      <alignment horizontal="center" vertical="center" wrapText="1"/>
      <protection/>
    </xf>
    <xf numFmtId="0" fontId="7" fillId="0" borderId="10" xfId="15" applyFont="1" applyFill="1" applyBorder="1" applyAlignment="1" applyProtection="1">
      <alignment horizontal="center" vertical="center" wrapText="1"/>
      <protection locked="0"/>
    </xf>
    <xf numFmtId="0" fontId="2" fillId="0" borderId="0" xfId="15" applyFont="1" applyFill="1" applyBorder="1" applyAlignment="1" applyProtection="1">
      <alignment horizontal="center" vertical="center"/>
      <protection locked="0"/>
    </xf>
    <xf numFmtId="0" fontId="7" fillId="0" borderId="10" xfId="15" applyFont="1" applyFill="1" applyBorder="1" applyAlignment="1" applyProtection="1">
      <alignment horizontal="center" vertical="center"/>
      <protection locked="0"/>
    </xf>
    <xf numFmtId="0" fontId="1" fillId="0" borderId="15" xfId="15" applyFont="1" applyFill="1" applyBorder="1" applyAlignment="1" applyProtection="1">
      <alignment horizontal="center" vertical="center"/>
      <protection/>
    </xf>
    <xf numFmtId="0" fontId="1" fillId="0" borderId="14" xfId="15" applyFont="1" applyFill="1" applyBorder="1" applyAlignment="1" applyProtection="1">
      <alignment horizontal="center" vertical="center"/>
      <protection/>
    </xf>
    <xf numFmtId="0" fontId="1" fillId="0" borderId="30" xfId="15" applyFont="1" applyFill="1" applyBorder="1" applyAlignment="1" applyProtection="1">
      <alignment horizontal="center" vertical="center"/>
      <protection/>
    </xf>
    <xf numFmtId="0" fontId="3" fillId="0" borderId="33" xfId="15" applyFont="1" applyFill="1" applyBorder="1" applyAlignment="1" applyProtection="1">
      <alignment horizontal="center" vertical="center" wrapText="1"/>
      <protection/>
    </xf>
    <xf numFmtId="0" fontId="3" fillId="0" borderId="26" xfId="15" applyFont="1" applyFill="1" applyBorder="1" applyAlignment="1" applyProtection="1">
      <alignment horizontal="center" vertical="center" wrapText="1"/>
      <protection/>
    </xf>
    <xf numFmtId="0" fontId="13" fillId="0" borderId="10" xfId="15" applyFont="1" applyFill="1" applyBorder="1" applyAlignment="1" applyProtection="1">
      <alignment horizontal="center" vertical="center"/>
      <protection locked="0"/>
    </xf>
    <xf numFmtId="0" fontId="13" fillId="0" borderId="0" xfId="15" applyFont="1" applyFill="1" applyAlignment="1" applyProtection="1">
      <alignment horizontal="center" vertical="center"/>
      <protection locked="0"/>
    </xf>
    <xf numFmtId="0" fontId="13" fillId="0" borderId="34" xfId="15" applyFont="1" applyFill="1" applyBorder="1" applyAlignment="1" applyProtection="1">
      <alignment horizontal="center" vertical="center"/>
      <protection locked="0"/>
    </xf>
    <xf numFmtId="0" fontId="13" fillId="0" borderId="10" xfId="15" applyFont="1" applyFill="1" applyBorder="1" applyAlignment="1" applyProtection="1">
      <alignment horizontal="center" vertical="center" wrapText="1"/>
      <protection locked="0"/>
    </xf>
    <xf numFmtId="0" fontId="1" fillId="0" borderId="0" xfId="15" applyFont="1" applyFill="1" applyAlignment="1" applyProtection="1">
      <alignment horizontal="right" vertical="center"/>
      <protection/>
    </xf>
    <xf numFmtId="0" fontId="7" fillId="0" borderId="35" xfId="15" applyFont="1" applyFill="1" applyBorder="1" applyAlignment="1" applyProtection="1">
      <alignment horizontal="center" vertical="center" wrapText="1"/>
      <protection/>
    </xf>
    <xf numFmtId="0" fontId="7" fillId="0" borderId="36" xfId="15" applyFont="1" applyFill="1" applyBorder="1" applyAlignment="1" applyProtection="1">
      <alignment horizontal="center" vertical="center" wrapText="1"/>
      <protection/>
    </xf>
    <xf numFmtId="0" fontId="7" fillId="0" borderId="37" xfId="15" applyFont="1" applyFill="1" applyBorder="1" applyAlignment="1" applyProtection="1">
      <alignment horizontal="center" vertical="center" wrapText="1"/>
      <protection/>
    </xf>
    <xf numFmtId="0" fontId="7" fillId="0" borderId="27" xfId="15" applyFont="1" applyFill="1" applyBorder="1" applyAlignment="1" applyProtection="1">
      <alignment horizontal="center" vertical="center" wrapText="1"/>
      <protection/>
    </xf>
    <xf numFmtId="0" fontId="7" fillId="0" borderId="38" xfId="15" applyFont="1" applyFill="1" applyBorder="1" applyAlignment="1" applyProtection="1">
      <alignment horizontal="center" vertical="center" wrapText="1"/>
      <protection/>
    </xf>
    <xf numFmtId="0" fontId="7" fillId="0" borderId="39" xfId="15" applyFont="1" applyFill="1" applyBorder="1" applyAlignment="1" applyProtection="1">
      <alignment horizontal="center" vertical="center" wrapText="1"/>
      <protection/>
    </xf>
    <xf numFmtId="0" fontId="13" fillId="0" borderId="40" xfId="15" applyFont="1" applyFill="1" applyBorder="1" applyAlignment="1" applyProtection="1">
      <alignment horizontal="center" vertical="center" wrapText="1"/>
      <protection/>
    </xf>
    <xf numFmtId="0" fontId="13" fillId="0" borderId="12" xfId="15" applyFont="1" applyFill="1" applyBorder="1" applyAlignment="1" applyProtection="1">
      <alignment horizontal="center" vertical="center" wrapText="1"/>
      <protection/>
    </xf>
    <xf numFmtId="0" fontId="13" fillId="0" borderId="41" xfId="15" applyFont="1" applyFill="1" applyBorder="1" applyAlignment="1" applyProtection="1">
      <alignment horizontal="center" vertical="center" wrapText="1"/>
      <protection/>
    </xf>
    <xf numFmtId="0" fontId="7" fillId="0" borderId="40" xfId="15" applyFont="1" applyFill="1" applyBorder="1" applyAlignment="1" applyProtection="1">
      <alignment horizontal="center" vertical="center" wrapText="1"/>
      <protection/>
    </xf>
    <xf numFmtId="0" fontId="7" fillId="0" borderId="12" xfId="15" applyFont="1" applyFill="1" applyBorder="1" applyAlignment="1" applyProtection="1">
      <alignment horizontal="center" vertical="center" wrapText="1"/>
      <protection/>
    </xf>
    <xf numFmtId="0" fontId="7" fillId="0" borderId="41" xfId="1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13" fillId="0" borderId="42" xfId="15" applyFont="1" applyFill="1" applyBorder="1" applyAlignment="1" applyProtection="1">
      <alignment horizontal="center" vertical="top"/>
      <protection/>
    </xf>
    <xf numFmtId="0" fontId="13" fillId="0" borderId="43" xfId="15" applyFont="1" applyFill="1" applyBorder="1" applyAlignment="1" applyProtection="1">
      <alignment horizontal="center" vertical="top"/>
      <protection/>
    </xf>
    <xf numFmtId="0" fontId="13" fillId="0" borderId="44" xfId="15" applyFont="1" applyFill="1" applyBorder="1" applyAlignment="1" applyProtection="1">
      <alignment horizontal="center" vertical="top"/>
      <protection/>
    </xf>
    <xf numFmtId="0" fontId="13" fillId="0" borderId="42" xfId="15" applyFont="1" applyFill="1" applyBorder="1" applyAlignment="1" applyProtection="1">
      <alignment horizontal="center" vertical="center"/>
      <protection/>
    </xf>
    <xf numFmtId="0" fontId="13" fillId="0" borderId="43" xfId="15" applyFont="1" applyFill="1" applyBorder="1" applyAlignment="1" applyProtection="1">
      <alignment horizontal="center" vertical="center"/>
      <protection/>
    </xf>
    <xf numFmtId="0" fontId="13" fillId="0" borderId="44" xfId="15" applyFont="1" applyFill="1" applyBorder="1" applyAlignment="1" applyProtection="1">
      <alignment horizontal="center" vertical="center"/>
      <protection/>
    </xf>
    <xf numFmtId="0" fontId="19" fillId="0" borderId="42" xfId="15" applyFont="1" applyFill="1" applyBorder="1" applyAlignment="1" applyProtection="1">
      <alignment horizontal="center" vertical="center"/>
      <protection/>
    </xf>
    <xf numFmtId="0" fontId="19" fillId="0" borderId="43" xfId="15" applyFont="1" applyFill="1" applyBorder="1" applyAlignment="1" applyProtection="1">
      <alignment horizontal="center" vertical="center"/>
      <protection/>
    </xf>
    <xf numFmtId="0" fontId="19" fillId="0" borderId="44" xfId="15" applyFont="1" applyFill="1" applyBorder="1" applyAlignment="1" applyProtection="1">
      <alignment horizontal="center" vertical="center"/>
      <protection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7" fillId="0" borderId="42" xfId="15" applyFont="1" applyFill="1" applyBorder="1" applyAlignment="1" applyProtection="1">
      <alignment horizontal="center" vertical="center"/>
      <protection/>
    </xf>
    <xf numFmtId="0" fontId="7" fillId="0" borderId="43" xfId="15" applyFont="1" applyFill="1" applyBorder="1" applyAlignment="1" applyProtection="1">
      <alignment horizontal="center" vertical="center"/>
      <protection/>
    </xf>
    <xf numFmtId="0" fontId="7" fillId="0" borderId="44" xfId="15" applyFont="1" applyFill="1" applyBorder="1" applyAlignment="1" applyProtection="1">
      <alignment horizontal="center" vertical="center"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</cellXfs>
  <cellStyles count="51">
    <cellStyle name="Normal" xfId="0"/>
    <cellStyle name="0,0&#13;&#10;NA&#13;&#10;" xfId="15"/>
    <cellStyle name="0,0&#13;&#10;NA&#13;&#10;_DELs Report October 2007 (New Format) 14.11.07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58"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none"/>
      </font>
    </dxf>
    <dxf>
      <font>
        <u val="single"/>
      </font>
    </dxf>
    <dxf>
      <font>
        <color indexed="20"/>
      </font>
      <fill>
        <patternFill>
          <bgColor indexed="45"/>
        </patternFill>
      </fill>
    </dxf>
    <dxf>
      <font>
        <u val="none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none"/>
      </font>
    </dxf>
    <dxf>
      <font>
        <u val="single"/>
      </font>
    </dxf>
    <dxf>
      <font>
        <color indexed="20"/>
      </font>
      <fill>
        <patternFill>
          <bgColor indexed="45"/>
        </patternFill>
      </fill>
    </dxf>
    <dxf>
      <font>
        <u val="non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none"/>
      </font>
    </dxf>
    <dxf>
      <font>
        <u val="single"/>
      </font>
    </dxf>
    <dxf>
      <font>
        <color indexed="20"/>
      </font>
      <fill>
        <patternFill>
          <bgColor indexed="45"/>
        </patternFill>
      </fill>
    </dxf>
    <dxf>
      <font>
        <u val="none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none"/>
      </font>
    </dxf>
    <dxf>
      <font>
        <u val="single"/>
      </font>
    </dxf>
    <dxf>
      <font>
        <color indexed="20"/>
      </font>
      <fill>
        <patternFill>
          <bgColor indexed="45"/>
        </patternFill>
      </fill>
    </dxf>
    <dxf>
      <font>
        <u val="non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07175"/>
          <c:w val="0.968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'TD-WD'!$B$1</c:f>
              <c:strCache>
                <c:ptCount val="1"/>
                <c:pt idx="0">
                  <c:v>Total DELs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'TD-WD'!$A$2:$A$8</c:f>
              <c:strCache/>
            </c:strRef>
          </c:cat>
          <c:val>
            <c:numRef>
              <c:f>'TD-WD'!$B$2:$B$8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1017103"/>
        <c:axId val="56500744"/>
      </c:barChart>
      <c:catAx>
        <c:axId val="51017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00744"/>
        <c:crosses val="autoZero"/>
        <c:auto val="1"/>
        <c:lblOffset val="100"/>
        <c:tickLblSkip val="1"/>
        <c:noMultiLvlLbl val="0"/>
      </c:catAx>
      <c:valAx>
        <c:axId val="565007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17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"/>
          <c:y val="0.12175"/>
          <c:w val="0.93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'TD-WD'!$E$1</c:f>
              <c:strCache>
                <c:ptCount val="1"/>
                <c:pt idx="0">
                  <c:v>Wireline DELs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'TD-WD'!$D$2:$D$8</c:f>
              <c:strCache/>
            </c:strRef>
          </c:cat>
          <c:val>
            <c:numRef>
              <c:f>'TD-WD'!$E$2:$E$8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8744649"/>
        <c:axId val="13157522"/>
      </c:barChart>
      <c:catAx>
        <c:axId val="3874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157522"/>
        <c:crosses val="autoZero"/>
        <c:auto val="1"/>
        <c:lblOffset val="100"/>
        <c:tickLblSkip val="1"/>
        <c:noMultiLvlLbl val="0"/>
      </c:catAx>
      <c:valAx>
        <c:axId val="13157522"/>
        <c:scaling>
          <c:orientation val="minMax"/>
          <c:min val="-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44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07175"/>
          <c:w val="0.9687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'WD-CD'!$B$1</c:f>
              <c:strCache>
                <c:ptCount val="1"/>
                <c:pt idx="0">
                  <c:v>WLL DELs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'WD-CD'!$A$2:$A$8</c:f>
              <c:strCache/>
            </c:strRef>
          </c:cat>
          <c:val>
            <c:numRef>
              <c:f>'WD-CD'!$B$2:$B$8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1308835"/>
        <c:axId val="59126332"/>
      </c:barChart>
      <c:catAx>
        <c:axId val="5130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126332"/>
        <c:crosses val="autoZero"/>
        <c:auto val="1"/>
        <c:lblOffset val="100"/>
        <c:tickLblSkip val="1"/>
        <c:noMultiLvlLbl val="0"/>
      </c:catAx>
      <c:valAx>
        <c:axId val="59126332"/>
        <c:scaling>
          <c:orientation val="minMax"/>
          <c:max val="1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088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925"/>
          <c:y val="0.06525"/>
          <c:w val="0.941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'WD-CD'!$E$1</c:f>
              <c:strCache>
                <c:ptCount val="1"/>
                <c:pt idx="0">
                  <c:v>Cellular mobile DELs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'WD-CD'!$D$2:$D$8</c:f>
              <c:strCache/>
            </c:strRef>
          </c:cat>
          <c:val>
            <c:numRef>
              <c:f>'WD-CD'!$E$2:$E$8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2374941"/>
        <c:axId val="24503558"/>
      </c:barChart>
      <c:catAx>
        <c:axId val="62374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503558"/>
        <c:crosses val="autoZero"/>
        <c:auto val="1"/>
        <c:lblOffset val="100"/>
        <c:tickLblSkip val="1"/>
        <c:noMultiLvlLbl val="0"/>
      </c:catAx>
      <c:valAx>
        <c:axId val="24503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749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07175"/>
          <c:w val="0.968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'BB-INTER'!$B$1</c:f>
              <c:strCache>
                <c:ptCount val="1"/>
                <c:pt idx="0">
                  <c:v>Broadband connection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'BB-INTER'!$A$2:$A$8</c:f>
              <c:strCache/>
            </c:strRef>
          </c:cat>
          <c:val>
            <c:numRef>
              <c:f>'BB-INTER'!$B$2:$B$8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9205431"/>
        <c:axId val="38631152"/>
      </c:barChart>
      <c:catAx>
        <c:axId val="19205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31152"/>
        <c:crosses val="autoZero"/>
        <c:auto val="1"/>
        <c:lblOffset val="100"/>
        <c:tickLblSkip val="1"/>
        <c:noMultiLvlLbl val="0"/>
      </c:catAx>
      <c:valAx>
        <c:axId val="38631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05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4"/>
          <c:y val="0.06525"/>
          <c:w val="0.936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'BB-INTER'!$E$1</c:f>
              <c:strCache>
                <c:ptCount val="1"/>
                <c:pt idx="0">
                  <c:v>Internet Connection (in Nos)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29,161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24,760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24,439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16,556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25,460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14098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14,098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'BB-INTER'!$D$2:$D$8</c:f>
              <c:strCache/>
            </c:strRef>
          </c:cat>
          <c:val>
            <c:numRef>
              <c:f>'BB-INTER'!$E$2:$E$8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2136049"/>
        <c:axId val="42115578"/>
      </c:barChart>
      <c:catAx>
        <c:axId val="12136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115578"/>
        <c:crosses val="autoZero"/>
        <c:auto val="1"/>
        <c:lblOffset val="100"/>
        <c:tickLblSkip val="1"/>
        <c:noMultiLvlLbl val="0"/>
      </c:catAx>
      <c:valAx>
        <c:axId val="42115578"/>
        <c:scaling>
          <c:orientation val="minMax"/>
          <c:max val="3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36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47625</xdr:rowOff>
    </xdr:from>
    <xdr:to>
      <xdr:col>6</xdr:col>
      <xdr:colOff>180975</xdr:colOff>
      <xdr:row>45</xdr:row>
      <xdr:rowOff>95250</xdr:rowOff>
    </xdr:to>
    <xdr:graphicFrame>
      <xdr:nvGraphicFramePr>
        <xdr:cNvPr id="1" name="Chart 4"/>
        <xdr:cNvGraphicFramePr/>
      </xdr:nvGraphicFramePr>
      <xdr:xfrm>
        <a:off x="0" y="2095500"/>
        <a:ext cx="44672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12</xdr:row>
      <xdr:rowOff>19050</xdr:rowOff>
    </xdr:from>
    <xdr:to>
      <xdr:col>12</xdr:col>
      <xdr:colOff>685800</xdr:colOff>
      <xdr:row>45</xdr:row>
      <xdr:rowOff>123825</xdr:rowOff>
    </xdr:to>
    <xdr:graphicFrame>
      <xdr:nvGraphicFramePr>
        <xdr:cNvPr id="2" name="Chart 5"/>
        <xdr:cNvGraphicFramePr/>
      </xdr:nvGraphicFramePr>
      <xdr:xfrm>
        <a:off x="4743450" y="2066925"/>
        <a:ext cx="451485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47625</xdr:rowOff>
    </xdr:from>
    <xdr:to>
      <xdr:col>6</xdr:col>
      <xdr:colOff>133350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0" y="2095500"/>
        <a:ext cx="44196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12</xdr:row>
      <xdr:rowOff>19050</xdr:rowOff>
    </xdr:from>
    <xdr:to>
      <xdr:col>12</xdr:col>
      <xdr:colOff>704850</xdr:colOff>
      <xdr:row>45</xdr:row>
      <xdr:rowOff>123825</xdr:rowOff>
    </xdr:to>
    <xdr:graphicFrame>
      <xdr:nvGraphicFramePr>
        <xdr:cNvPr id="2" name="Chart 2"/>
        <xdr:cNvGraphicFramePr/>
      </xdr:nvGraphicFramePr>
      <xdr:xfrm>
        <a:off x="4772025" y="2066925"/>
        <a:ext cx="4505325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47625</xdr:rowOff>
    </xdr:from>
    <xdr:to>
      <xdr:col>6</xdr:col>
      <xdr:colOff>180975</xdr:colOff>
      <xdr:row>46</xdr:row>
      <xdr:rowOff>95250</xdr:rowOff>
    </xdr:to>
    <xdr:graphicFrame>
      <xdr:nvGraphicFramePr>
        <xdr:cNvPr id="1" name="Chart 4"/>
        <xdr:cNvGraphicFramePr/>
      </xdr:nvGraphicFramePr>
      <xdr:xfrm>
        <a:off x="0" y="2257425"/>
        <a:ext cx="44672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13</xdr:row>
      <xdr:rowOff>19050</xdr:rowOff>
    </xdr:from>
    <xdr:to>
      <xdr:col>12</xdr:col>
      <xdr:colOff>685800</xdr:colOff>
      <xdr:row>46</xdr:row>
      <xdr:rowOff>123825</xdr:rowOff>
    </xdr:to>
    <xdr:graphicFrame>
      <xdr:nvGraphicFramePr>
        <xdr:cNvPr id="2" name="Chart 5"/>
        <xdr:cNvGraphicFramePr/>
      </xdr:nvGraphicFramePr>
      <xdr:xfrm>
        <a:off x="4743450" y="2228850"/>
        <a:ext cx="451485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DELs%20Report%20Dec-12(MI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 12(1)"/>
      <sheetName val="Dec 12(2)"/>
      <sheetName val="Dec 12(3)"/>
      <sheetName val="Dec 12 (4&amp;5)"/>
      <sheetName val="Dec 12(6)"/>
      <sheetName val="Dec 12(7)"/>
      <sheetName val="Dec 09 (7)"/>
      <sheetName val="WL (8&amp;9)"/>
      <sheetName val="WLL (10&amp;11)"/>
      <sheetName val="Mobile (12&amp;13)"/>
      <sheetName val="Total (14&amp;15)"/>
      <sheetName val="TD-WD"/>
      <sheetName val="WD-CD"/>
      <sheetName val="BB-INTER"/>
      <sheetName val="Sheet1"/>
      <sheetName val="Sheet2"/>
      <sheetName val="Sheet3"/>
      <sheetName val="Sheet4"/>
    </sheetNames>
    <sheetDataSet>
      <sheetData sheetId="7">
        <row r="5">
          <cell r="L5">
            <v>75</v>
          </cell>
        </row>
        <row r="6">
          <cell r="L6">
            <v>218</v>
          </cell>
        </row>
        <row r="8">
          <cell r="L8">
            <v>16668</v>
          </cell>
        </row>
        <row r="9">
          <cell r="L9">
            <v>26795</v>
          </cell>
        </row>
        <row r="11">
          <cell r="L11">
            <v>1298</v>
          </cell>
        </row>
        <row r="12">
          <cell r="L12">
            <v>1829</v>
          </cell>
        </row>
        <row r="14">
          <cell r="L14">
            <v>2081</v>
          </cell>
        </row>
        <row r="15">
          <cell r="L15">
            <v>1170</v>
          </cell>
        </row>
        <row r="17">
          <cell r="L17">
            <v>347</v>
          </cell>
        </row>
        <row r="18">
          <cell r="L18">
            <v>719</v>
          </cell>
        </row>
        <row r="20">
          <cell r="L20">
            <v>11436</v>
          </cell>
        </row>
        <row r="21">
          <cell r="L21">
            <v>8930</v>
          </cell>
        </row>
        <row r="23">
          <cell r="L23">
            <v>2627</v>
          </cell>
        </row>
        <row r="24">
          <cell r="L24">
            <v>5682</v>
          </cell>
        </row>
        <row r="26">
          <cell r="L26">
            <v>555</v>
          </cell>
        </row>
        <row r="27">
          <cell r="L27">
            <v>2957</v>
          </cell>
        </row>
        <row r="29">
          <cell r="L29">
            <v>925</v>
          </cell>
        </row>
        <row r="30">
          <cell r="L30">
            <v>1982</v>
          </cell>
        </row>
        <row r="32">
          <cell r="L32">
            <v>1123</v>
          </cell>
        </row>
        <row r="33">
          <cell r="L33">
            <v>1163</v>
          </cell>
        </row>
        <row r="35">
          <cell r="L35">
            <v>14236</v>
          </cell>
        </row>
        <row r="36">
          <cell r="L36">
            <v>19381</v>
          </cell>
        </row>
        <row r="38">
          <cell r="L38">
            <v>8166</v>
          </cell>
        </row>
        <row r="39">
          <cell r="L39">
            <v>25098</v>
          </cell>
        </row>
        <row r="41">
          <cell r="L41">
            <v>7847</v>
          </cell>
        </row>
        <row r="42">
          <cell r="L42">
            <v>7178</v>
          </cell>
        </row>
        <row r="44">
          <cell r="L44">
            <v>11781</v>
          </cell>
        </row>
        <row r="45">
          <cell r="L45">
            <v>25729</v>
          </cell>
        </row>
        <row r="47">
          <cell r="L47">
            <v>432</v>
          </cell>
        </row>
        <row r="48">
          <cell r="L48">
            <v>491</v>
          </cell>
        </row>
        <row r="50">
          <cell r="L50">
            <v>396</v>
          </cell>
        </row>
        <row r="51">
          <cell r="L51">
            <v>3027</v>
          </cell>
        </row>
        <row r="53">
          <cell r="L53">
            <v>2501</v>
          </cell>
        </row>
        <row r="54">
          <cell r="L54">
            <v>1863</v>
          </cell>
        </row>
        <row r="56">
          <cell r="L56">
            <v>4691</v>
          </cell>
        </row>
        <row r="57">
          <cell r="L57">
            <v>18450</v>
          </cell>
        </row>
        <row r="59">
          <cell r="L59">
            <v>3924</v>
          </cell>
        </row>
        <row r="60">
          <cell r="L60">
            <v>13291</v>
          </cell>
        </row>
        <row r="62">
          <cell r="L62">
            <v>11757</v>
          </cell>
        </row>
        <row r="63">
          <cell r="L63">
            <v>18468</v>
          </cell>
        </row>
        <row r="65">
          <cell r="L65">
            <v>819</v>
          </cell>
        </row>
        <row r="66">
          <cell r="L66">
            <v>1483</v>
          </cell>
        </row>
        <row r="68">
          <cell r="L68">
            <v>2193</v>
          </cell>
        </row>
        <row r="69">
          <cell r="L69">
            <v>5458</v>
          </cell>
        </row>
        <row r="71">
          <cell r="L71">
            <v>2625</v>
          </cell>
        </row>
        <row r="72">
          <cell r="L72">
            <v>3889</v>
          </cell>
        </row>
        <row r="74">
          <cell r="L74">
            <v>2478</v>
          </cell>
        </row>
        <row r="75">
          <cell r="L75">
            <v>5811</v>
          </cell>
        </row>
        <row r="77">
          <cell r="L77">
            <v>2057</v>
          </cell>
        </row>
        <row r="78">
          <cell r="L78">
            <v>5377</v>
          </cell>
        </row>
        <row r="80">
          <cell r="L80">
            <v>5830</v>
          </cell>
        </row>
        <row r="81">
          <cell r="L81">
            <v>6756</v>
          </cell>
        </row>
      </sheetData>
      <sheetData sheetId="8">
        <row r="5">
          <cell r="L5">
            <v>236</v>
          </cell>
        </row>
        <row r="6">
          <cell r="L6">
            <v>240</v>
          </cell>
        </row>
        <row r="8">
          <cell r="L8">
            <v>2145</v>
          </cell>
        </row>
        <row r="9">
          <cell r="L9">
            <v>1036</v>
          </cell>
        </row>
        <row r="11">
          <cell r="L11">
            <v>840</v>
          </cell>
        </row>
        <row r="12">
          <cell r="L12">
            <v>172</v>
          </cell>
        </row>
        <row r="14">
          <cell r="L14">
            <v>2467</v>
          </cell>
        </row>
        <row r="15">
          <cell r="L15">
            <v>6467</v>
          </cell>
        </row>
        <row r="17">
          <cell r="L17">
            <v>540</v>
          </cell>
        </row>
        <row r="18">
          <cell r="L18">
            <v>911</v>
          </cell>
        </row>
        <row r="20">
          <cell r="L20">
            <v>1902</v>
          </cell>
        </row>
        <row r="21">
          <cell r="L21">
            <v>3815</v>
          </cell>
        </row>
        <row r="23">
          <cell r="L23">
            <v>362</v>
          </cell>
        </row>
        <row r="24">
          <cell r="L24">
            <v>1566</v>
          </cell>
        </row>
        <row r="26">
          <cell r="L26">
            <v>937</v>
          </cell>
        </row>
        <row r="27">
          <cell r="L27">
            <v>1471</v>
          </cell>
        </row>
        <row r="29">
          <cell r="L29">
            <v>1391</v>
          </cell>
        </row>
        <row r="30">
          <cell r="L30">
            <v>2858</v>
          </cell>
        </row>
        <row r="32">
          <cell r="L32">
            <v>89</v>
          </cell>
        </row>
        <row r="33">
          <cell r="L33">
            <v>718</v>
          </cell>
        </row>
        <row r="35">
          <cell r="L35">
            <v>729</v>
          </cell>
        </row>
        <row r="36">
          <cell r="L36">
            <v>89494</v>
          </cell>
        </row>
        <row r="38">
          <cell r="L38">
            <v>2854</v>
          </cell>
        </row>
        <row r="39">
          <cell r="L39">
            <v>6694</v>
          </cell>
        </row>
        <row r="41">
          <cell r="L41">
            <v>5419</v>
          </cell>
        </row>
        <row r="42">
          <cell r="L42">
            <v>3351</v>
          </cell>
        </row>
        <row r="44">
          <cell r="L44">
            <v>2159</v>
          </cell>
        </row>
        <row r="45">
          <cell r="L45">
            <v>4725</v>
          </cell>
        </row>
        <row r="47">
          <cell r="L47">
            <v>286</v>
          </cell>
        </row>
        <row r="48">
          <cell r="L48">
            <v>58</v>
          </cell>
        </row>
        <row r="50">
          <cell r="L50">
            <v>194</v>
          </cell>
        </row>
        <row r="51">
          <cell r="L51">
            <v>14</v>
          </cell>
        </row>
        <row r="53">
          <cell r="L53">
            <v>529</v>
          </cell>
        </row>
        <row r="54">
          <cell r="L54">
            <v>52595</v>
          </cell>
        </row>
        <row r="56">
          <cell r="L56">
            <v>1128</v>
          </cell>
        </row>
        <row r="57">
          <cell r="L57">
            <v>655</v>
          </cell>
        </row>
        <row r="59">
          <cell r="L59">
            <v>380</v>
          </cell>
        </row>
        <row r="60">
          <cell r="L60">
            <v>1487</v>
          </cell>
        </row>
        <row r="62">
          <cell r="L62">
            <v>1433</v>
          </cell>
        </row>
        <row r="63">
          <cell r="L63">
            <v>1144</v>
          </cell>
        </row>
        <row r="65">
          <cell r="L65">
            <v>224</v>
          </cell>
        </row>
        <row r="66">
          <cell r="L66">
            <v>731</v>
          </cell>
        </row>
        <row r="68">
          <cell r="L68">
            <v>1223</v>
          </cell>
        </row>
        <row r="69">
          <cell r="L69">
            <v>10389</v>
          </cell>
        </row>
        <row r="71">
          <cell r="L71">
            <v>564</v>
          </cell>
        </row>
        <row r="72">
          <cell r="L72">
            <v>2751</v>
          </cell>
        </row>
        <row r="74">
          <cell r="L74">
            <v>4253</v>
          </cell>
        </row>
        <row r="75">
          <cell r="L75">
            <v>4157</v>
          </cell>
        </row>
        <row r="77">
          <cell r="L77">
            <v>173</v>
          </cell>
        </row>
        <row r="78">
          <cell r="L78">
            <v>387</v>
          </cell>
        </row>
        <row r="80">
          <cell r="L80">
            <v>221</v>
          </cell>
        </row>
        <row r="81">
          <cell r="L81">
            <v>184</v>
          </cell>
        </row>
      </sheetData>
      <sheetData sheetId="9">
        <row r="6">
          <cell r="L6">
            <v>1627</v>
          </cell>
        </row>
        <row r="7">
          <cell r="L7">
            <v>112</v>
          </cell>
        </row>
        <row r="9">
          <cell r="L9">
            <v>123494</v>
          </cell>
        </row>
        <row r="10">
          <cell r="L10">
            <v>103491</v>
          </cell>
        </row>
        <row r="12">
          <cell r="L12">
            <v>25938</v>
          </cell>
        </row>
        <row r="13">
          <cell r="L13">
            <v>20423</v>
          </cell>
        </row>
        <row r="15">
          <cell r="L15">
            <v>38461</v>
          </cell>
        </row>
        <row r="16">
          <cell r="L16">
            <v>59671</v>
          </cell>
        </row>
        <row r="18">
          <cell r="L18">
            <v>17678</v>
          </cell>
        </row>
        <row r="19">
          <cell r="L19">
            <v>18</v>
          </cell>
        </row>
        <row r="21">
          <cell r="L21">
            <v>20506</v>
          </cell>
        </row>
        <row r="22">
          <cell r="L22">
            <v>2294</v>
          </cell>
        </row>
        <row r="24">
          <cell r="L24">
            <v>39102</v>
          </cell>
        </row>
        <row r="25">
          <cell r="L25">
            <v>45009</v>
          </cell>
        </row>
        <row r="27">
          <cell r="L27">
            <v>17784</v>
          </cell>
        </row>
        <row r="28">
          <cell r="L28">
            <v>1650</v>
          </cell>
        </row>
        <row r="30">
          <cell r="L30">
            <v>786</v>
          </cell>
        </row>
        <row r="31">
          <cell r="L31">
            <v>12832</v>
          </cell>
        </row>
        <row r="33">
          <cell r="L33">
            <v>10200</v>
          </cell>
        </row>
        <row r="34">
          <cell r="L34">
            <v>17525</v>
          </cell>
        </row>
        <row r="36">
          <cell r="L36">
            <v>63848</v>
          </cell>
        </row>
        <row r="37">
          <cell r="L37">
            <v>49038</v>
          </cell>
        </row>
        <row r="39">
          <cell r="L39">
            <v>90000</v>
          </cell>
        </row>
        <row r="40">
          <cell r="L40">
            <v>36446</v>
          </cell>
        </row>
        <row r="42">
          <cell r="L42">
            <v>44561</v>
          </cell>
        </row>
        <row r="43">
          <cell r="L43">
            <v>10474</v>
          </cell>
        </row>
        <row r="45">
          <cell r="L45">
            <v>95949</v>
          </cell>
        </row>
        <row r="46">
          <cell r="L46">
            <v>28739</v>
          </cell>
        </row>
        <row r="48">
          <cell r="L48">
            <v>7912</v>
          </cell>
        </row>
        <row r="49">
          <cell r="L49">
            <v>549</v>
          </cell>
        </row>
        <row r="51">
          <cell r="L51">
            <v>10385</v>
          </cell>
        </row>
        <row r="52">
          <cell r="L52">
            <v>22638</v>
          </cell>
        </row>
        <row r="54">
          <cell r="L54">
            <v>50971</v>
          </cell>
        </row>
        <row r="55">
          <cell r="L55">
            <v>34792</v>
          </cell>
        </row>
        <row r="57">
          <cell r="L57">
            <v>46080</v>
          </cell>
        </row>
        <row r="58">
          <cell r="L58">
            <v>117924</v>
          </cell>
        </row>
        <row r="60">
          <cell r="L60">
            <v>38389</v>
          </cell>
        </row>
        <row r="61">
          <cell r="L61">
            <v>19565</v>
          </cell>
        </row>
        <row r="63">
          <cell r="L63">
            <v>56371</v>
          </cell>
        </row>
        <row r="64">
          <cell r="L64">
            <v>46395</v>
          </cell>
        </row>
        <row r="66">
          <cell r="L66">
            <v>15518</v>
          </cell>
        </row>
        <row r="67">
          <cell r="L67">
            <v>14639</v>
          </cell>
        </row>
        <row r="69">
          <cell r="L69">
            <v>20639</v>
          </cell>
        </row>
        <row r="70">
          <cell r="L70">
            <v>8684</v>
          </cell>
        </row>
        <row r="72">
          <cell r="L72">
            <v>58075</v>
          </cell>
        </row>
        <row r="73">
          <cell r="L73">
            <v>57732</v>
          </cell>
        </row>
        <row r="75">
          <cell r="L75">
            <v>11327</v>
          </cell>
        </row>
        <row r="76">
          <cell r="L76">
            <v>15478</v>
          </cell>
        </row>
        <row r="78">
          <cell r="L78">
            <v>7588</v>
          </cell>
        </row>
        <row r="79">
          <cell r="L79">
            <v>2891</v>
          </cell>
        </row>
        <row r="81">
          <cell r="L81">
            <v>0</v>
          </cell>
        </row>
        <row r="82">
          <cell r="L82">
            <v>5775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12"/>
  <sheetViews>
    <sheetView tabSelected="1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1" sqref="O1"/>
    </sheetView>
  </sheetViews>
  <sheetFormatPr defaultColWidth="7.8515625" defaultRowHeight="12.75"/>
  <cols>
    <col min="1" max="1" width="4.421875" style="50" customWidth="1"/>
    <col min="2" max="2" width="12.421875" style="50" customWidth="1"/>
    <col min="3" max="3" width="11.57421875" style="50" customWidth="1"/>
    <col min="4" max="4" width="10.00390625" style="50" customWidth="1"/>
    <col min="5" max="5" width="11.7109375" style="50" customWidth="1"/>
    <col min="6" max="6" width="12.7109375" style="50" customWidth="1"/>
    <col min="7" max="7" width="9.421875" style="50" customWidth="1"/>
    <col min="8" max="8" width="8.7109375" style="50" customWidth="1"/>
    <col min="9" max="9" width="10.57421875" style="50" customWidth="1"/>
    <col min="10" max="10" width="11.57421875" style="50" customWidth="1"/>
    <col min="11" max="12" width="10.57421875" style="50" hidden="1" customWidth="1"/>
    <col min="13" max="13" width="11.7109375" style="50" hidden="1" customWidth="1"/>
    <col min="14" max="14" width="12.140625" style="50" hidden="1" customWidth="1"/>
    <col min="15" max="15" width="11.7109375" style="195" customWidth="1"/>
    <col min="16" max="16" width="10.140625" style="195" customWidth="1"/>
    <col min="17" max="17" width="11.57421875" style="195" customWidth="1"/>
    <col min="18" max="18" width="13.28125" style="195" customWidth="1"/>
    <col min="19" max="19" width="9.8515625" style="50" customWidth="1"/>
    <col min="20" max="20" width="9.421875" style="50" customWidth="1"/>
    <col min="21" max="21" width="10.28125" style="50" customWidth="1"/>
    <col min="22" max="22" width="9.8515625" style="50" customWidth="1"/>
    <col min="23" max="23" width="10.57421875" style="51" customWidth="1"/>
    <col min="24" max="24" width="11.421875" style="51" customWidth="1"/>
    <col min="25" max="25" width="11.57421875" style="50" customWidth="1"/>
    <col min="26" max="26" width="10.28125" style="50" customWidth="1"/>
    <col min="27" max="27" width="12.57421875" style="50" customWidth="1"/>
    <col min="28" max="28" width="12.8515625" style="50" customWidth="1"/>
    <col min="29" max="29" width="11.57421875" style="50" customWidth="1"/>
    <col min="30" max="30" width="10.28125" style="50" customWidth="1"/>
    <col min="31" max="31" width="11.421875" style="50" customWidth="1"/>
    <col min="32" max="32" width="10.57421875" style="50" customWidth="1"/>
    <col min="33" max="33" width="4.57421875" style="50" customWidth="1"/>
    <col min="34" max="34" width="17.421875" style="50" customWidth="1"/>
    <col min="35" max="35" width="9.00390625" style="50" customWidth="1"/>
    <col min="36" max="36" width="7.8515625" style="50" customWidth="1"/>
    <col min="37" max="37" width="10.421875" style="50" customWidth="1"/>
    <col min="38" max="50" width="7.8515625" style="50" customWidth="1"/>
    <col min="51" max="51" width="13.7109375" style="50" customWidth="1"/>
    <col min="52" max="16384" width="7.8515625" style="50" customWidth="1"/>
  </cols>
  <sheetData>
    <row r="1" spans="1:26" ht="16.5" customHeight="1">
      <c r="A1" s="41" t="s">
        <v>208</v>
      </c>
      <c r="B1" s="39"/>
      <c r="C1" s="39"/>
      <c r="D1" s="39"/>
      <c r="E1" s="39"/>
      <c r="F1" s="39"/>
      <c r="G1" s="39"/>
      <c r="H1" s="39"/>
      <c r="I1" s="55"/>
      <c r="J1" s="420"/>
      <c r="K1" s="187"/>
      <c r="L1" s="187"/>
      <c r="M1" s="39"/>
      <c r="N1" s="187"/>
      <c r="O1" s="381"/>
      <c r="P1" s="390"/>
      <c r="Q1" s="391"/>
      <c r="S1" s="39" t="s">
        <v>174</v>
      </c>
      <c r="T1" s="39"/>
      <c r="U1" s="449"/>
      <c r="V1" s="420"/>
      <c r="W1" s="149"/>
      <c r="X1" s="39"/>
      <c r="Y1" s="78" t="s">
        <v>197</v>
      </c>
      <c r="Z1" s="376"/>
    </row>
    <row r="2" spans="1:27" ht="9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P2" s="440"/>
      <c r="S2" s="39"/>
      <c r="T2" s="39"/>
      <c r="U2" s="39"/>
      <c r="V2" s="39"/>
      <c r="W2" s="39"/>
      <c r="X2" s="39"/>
      <c r="Y2" s="39"/>
      <c r="Z2" s="39"/>
      <c r="AA2" s="51"/>
    </row>
    <row r="3" spans="1:27" ht="31.5" customHeight="1">
      <c r="A3" s="484" t="s">
        <v>18</v>
      </c>
      <c r="B3" s="482" t="s">
        <v>17</v>
      </c>
      <c r="C3" s="479" t="s">
        <v>175</v>
      </c>
      <c r="D3" s="480"/>
      <c r="E3" s="480"/>
      <c r="F3" s="470"/>
      <c r="G3" s="486" t="s">
        <v>176</v>
      </c>
      <c r="H3" s="487"/>
      <c r="I3" s="487"/>
      <c r="J3" s="488"/>
      <c r="K3" s="486" t="s">
        <v>203</v>
      </c>
      <c r="L3" s="487"/>
      <c r="M3" s="487"/>
      <c r="N3" s="488"/>
      <c r="O3" s="485" t="s">
        <v>209</v>
      </c>
      <c r="P3" s="485"/>
      <c r="Q3" s="485"/>
      <c r="R3" s="485"/>
      <c r="S3" s="485" t="s">
        <v>25</v>
      </c>
      <c r="T3" s="485"/>
      <c r="U3" s="485"/>
      <c r="V3" s="485"/>
      <c r="W3" s="485"/>
      <c r="X3" s="485"/>
      <c r="Y3" s="485"/>
      <c r="Z3" s="485"/>
      <c r="AA3" s="460"/>
    </row>
    <row r="4" spans="1:31" ht="21" customHeight="1">
      <c r="A4" s="484"/>
      <c r="B4" s="478"/>
      <c r="C4" s="482" t="s">
        <v>26</v>
      </c>
      <c r="D4" s="482" t="s">
        <v>20</v>
      </c>
      <c r="E4" s="482" t="s">
        <v>1</v>
      </c>
      <c r="F4" s="485" t="s">
        <v>2</v>
      </c>
      <c r="G4" s="485" t="s">
        <v>145</v>
      </c>
      <c r="H4" s="484" t="s">
        <v>20</v>
      </c>
      <c r="I4" s="482" t="s">
        <v>1</v>
      </c>
      <c r="J4" s="482" t="s">
        <v>2</v>
      </c>
      <c r="K4" s="482" t="s">
        <v>26</v>
      </c>
      <c r="L4" s="482" t="s">
        <v>20</v>
      </c>
      <c r="M4" s="482" t="s">
        <v>1</v>
      </c>
      <c r="N4" s="482" t="s">
        <v>2</v>
      </c>
      <c r="O4" s="482" t="s">
        <v>26</v>
      </c>
      <c r="P4" s="485" t="s">
        <v>20</v>
      </c>
      <c r="Q4" s="482" t="s">
        <v>1</v>
      </c>
      <c r="R4" s="484" t="s">
        <v>2</v>
      </c>
      <c r="S4" s="485" t="s">
        <v>0</v>
      </c>
      <c r="T4" s="485"/>
      <c r="U4" s="485"/>
      <c r="V4" s="485"/>
      <c r="W4" s="484" t="s">
        <v>177</v>
      </c>
      <c r="X4" s="484"/>
      <c r="Y4" s="484"/>
      <c r="Z4" s="484"/>
      <c r="AB4" s="481" t="s">
        <v>14</v>
      </c>
      <c r="AC4" s="481"/>
      <c r="AD4" s="481" t="s">
        <v>57</v>
      </c>
      <c r="AE4" s="481"/>
    </row>
    <row r="5" spans="1:31" ht="33" customHeight="1">
      <c r="A5" s="484"/>
      <c r="B5" s="483"/>
      <c r="C5" s="483"/>
      <c r="D5" s="483"/>
      <c r="E5" s="483"/>
      <c r="F5" s="485"/>
      <c r="G5" s="485"/>
      <c r="H5" s="484"/>
      <c r="I5" s="483"/>
      <c r="J5" s="483"/>
      <c r="K5" s="483"/>
      <c r="L5" s="483"/>
      <c r="M5" s="483"/>
      <c r="N5" s="483"/>
      <c r="O5" s="483"/>
      <c r="P5" s="485"/>
      <c r="Q5" s="483"/>
      <c r="R5" s="484"/>
      <c r="S5" s="198" t="s">
        <v>26</v>
      </c>
      <c r="T5" s="198" t="s">
        <v>20</v>
      </c>
      <c r="U5" s="198" t="s">
        <v>1</v>
      </c>
      <c r="V5" s="282" t="s">
        <v>2</v>
      </c>
      <c r="W5" s="198" t="s">
        <v>26</v>
      </c>
      <c r="X5" s="282" t="s">
        <v>20</v>
      </c>
      <c r="Y5" s="198" t="s">
        <v>1</v>
      </c>
      <c r="Z5" s="198" t="s">
        <v>2</v>
      </c>
      <c r="AA5" s="460"/>
      <c r="AB5" s="216" t="s">
        <v>160</v>
      </c>
      <c r="AC5" s="216" t="s">
        <v>161</v>
      </c>
      <c r="AD5" s="216" t="s">
        <v>160</v>
      </c>
      <c r="AE5" s="216" t="s">
        <v>161</v>
      </c>
    </row>
    <row r="6" spans="1:35" ht="24.75" customHeight="1">
      <c r="A6" s="24">
        <v>1</v>
      </c>
      <c r="B6" s="25" t="s">
        <v>39</v>
      </c>
      <c r="C6" s="332">
        <v>15906</v>
      </c>
      <c r="D6" s="332">
        <v>9966</v>
      </c>
      <c r="E6" s="332">
        <v>183067</v>
      </c>
      <c r="F6" s="26">
        <f>C6+D6+E6</f>
        <v>208939</v>
      </c>
      <c r="G6" s="365">
        <v>100</v>
      </c>
      <c r="H6" s="365">
        <v>1800</v>
      </c>
      <c r="I6" s="365">
        <v>26800</v>
      </c>
      <c r="J6" s="26">
        <f>G6+H6+I6</f>
        <v>28700</v>
      </c>
      <c r="K6" s="402">
        <v>13623</v>
      </c>
      <c r="L6" s="402">
        <v>11205</v>
      </c>
      <c r="M6" s="402">
        <v>200732</v>
      </c>
      <c r="N6" s="26">
        <f>K6+L6+M6</f>
        <v>225560</v>
      </c>
      <c r="O6" s="402">
        <v>13950</v>
      </c>
      <c r="P6" s="402">
        <v>11024</v>
      </c>
      <c r="Q6" s="402">
        <v>203049</v>
      </c>
      <c r="R6" s="35">
        <f>O6+P6+Q6</f>
        <v>228023</v>
      </c>
      <c r="S6" s="68">
        <f>O6-K6</f>
        <v>327</v>
      </c>
      <c r="T6" s="68">
        <f>P6-L6</f>
        <v>-181</v>
      </c>
      <c r="U6" s="68">
        <f>Q6-M6</f>
        <v>2317</v>
      </c>
      <c r="V6" s="26">
        <f aca="true" t="shared" si="0" ref="V6:V31">SUM(S6:U6)</f>
        <v>2463</v>
      </c>
      <c r="W6" s="26">
        <f>O6-C6</f>
        <v>-1956</v>
      </c>
      <c r="X6" s="26">
        <f>P6-D6</f>
        <v>1058</v>
      </c>
      <c r="Y6" s="26">
        <f>Q6-E6</f>
        <v>19982</v>
      </c>
      <c r="Z6" s="26">
        <f aca="true" t="shared" si="1" ref="Z6:Z31">SUM(W6:Y6)</f>
        <v>19084</v>
      </c>
      <c r="AA6" s="460"/>
      <c r="AB6" s="309">
        <f>T6/H6*100</f>
        <v>-10.055555555555555</v>
      </c>
      <c r="AC6" s="309">
        <f>U6/I6*100</f>
        <v>8.645522388059701</v>
      </c>
      <c r="AD6" s="310">
        <f>X6/H6*100</f>
        <v>58.77777777777777</v>
      </c>
      <c r="AE6" s="310">
        <f>Y6/I6*100</f>
        <v>74.55970149253731</v>
      </c>
      <c r="AF6" s="51"/>
      <c r="AG6" s="51"/>
      <c r="AH6" s="51"/>
      <c r="AI6" s="51"/>
    </row>
    <row r="7" spans="1:35" ht="24.75" customHeight="1">
      <c r="A7" s="27">
        <v>2</v>
      </c>
      <c r="B7" s="28" t="s">
        <v>65</v>
      </c>
      <c r="C7" s="33">
        <v>1970060</v>
      </c>
      <c r="D7" s="33">
        <v>215963</v>
      </c>
      <c r="E7" s="33">
        <v>8804278</v>
      </c>
      <c r="F7" s="29">
        <f aca="true" t="shared" si="2" ref="F7:F31">C7+D7+E7</f>
        <v>10990301</v>
      </c>
      <c r="G7" s="366">
        <v>12000</v>
      </c>
      <c r="H7" s="366">
        <v>27000</v>
      </c>
      <c r="I7" s="366">
        <v>730700</v>
      </c>
      <c r="J7" s="29">
        <f aca="true" t="shared" si="3" ref="J7:J30">G7+H7+I7</f>
        <v>769700</v>
      </c>
      <c r="K7" s="392">
        <v>1868092</v>
      </c>
      <c r="L7" s="392">
        <v>110582</v>
      </c>
      <c r="M7" s="392">
        <v>9146704</v>
      </c>
      <c r="N7" s="26">
        <f aca="true" t="shared" si="4" ref="N7:N31">K7+L7+M7</f>
        <v>11125378</v>
      </c>
      <c r="O7" s="392">
        <v>1857263</v>
      </c>
      <c r="P7" s="392">
        <v>89783</v>
      </c>
      <c r="Q7" s="392">
        <v>9203595</v>
      </c>
      <c r="R7" s="33">
        <f>O7+P7+Q7</f>
        <v>11150641</v>
      </c>
      <c r="S7" s="66">
        <f aca="true" t="shared" si="5" ref="S7:S31">O7-K7</f>
        <v>-10829</v>
      </c>
      <c r="T7" s="66">
        <f aca="true" t="shared" si="6" ref="T7:T30">P7-L7</f>
        <v>-20799</v>
      </c>
      <c r="U7" s="66">
        <f aca="true" t="shared" si="7" ref="U7:U30">Q7-M7</f>
        <v>56891</v>
      </c>
      <c r="V7" s="29">
        <f t="shared" si="0"/>
        <v>25263</v>
      </c>
      <c r="W7" s="29">
        <f>O7-C7</f>
        <v>-112797</v>
      </c>
      <c r="X7" s="29">
        <f aca="true" t="shared" si="8" ref="X7:X31">P7-D7</f>
        <v>-126180</v>
      </c>
      <c r="Y7" s="29">
        <f aca="true" t="shared" si="9" ref="Y7:Y31">Q7-E7</f>
        <v>399317</v>
      </c>
      <c r="Z7" s="29">
        <f t="shared" si="1"/>
        <v>160340</v>
      </c>
      <c r="AA7" s="119"/>
      <c r="AB7" s="309">
        <f aca="true" t="shared" si="10" ref="AB7:AC32">T7/H7*100</f>
        <v>-77.03333333333333</v>
      </c>
      <c r="AC7" s="309">
        <f t="shared" si="10"/>
        <v>7.7858218146982345</v>
      </c>
      <c r="AD7" s="310">
        <f aca="true" t="shared" si="11" ref="AD7:AD32">X7/H7*100</f>
        <v>-467.3333333333333</v>
      </c>
      <c r="AE7" s="310">
        <f aca="true" t="shared" si="12" ref="AE7:AE30">Y7/I7*100</f>
        <v>54.648556179006434</v>
      </c>
      <c r="AF7" s="51"/>
      <c r="AG7" s="51"/>
      <c r="AH7" s="51"/>
      <c r="AI7" s="51"/>
    </row>
    <row r="8" spans="1:44" ht="24.75" customHeight="1">
      <c r="A8" s="30">
        <v>3</v>
      </c>
      <c r="B8" s="31" t="s">
        <v>3</v>
      </c>
      <c r="C8" s="34">
        <v>227229</v>
      </c>
      <c r="D8" s="34">
        <v>103900</v>
      </c>
      <c r="E8" s="34">
        <v>1161479</v>
      </c>
      <c r="F8" s="32">
        <f t="shared" si="2"/>
        <v>1492608</v>
      </c>
      <c r="G8" s="367">
        <v>600</v>
      </c>
      <c r="H8" s="367">
        <v>10800</v>
      </c>
      <c r="I8" s="367">
        <v>277100</v>
      </c>
      <c r="J8" s="32">
        <f t="shared" si="3"/>
        <v>288500</v>
      </c>
      <c r="K8" s="393">
        <v>193965</v>
      </c>
      <c r="L8" s="393">
        <v>90032</v>
      </c>
      <c r="M8" s="393">
        <v>1140886</v>
      </c>
      <c r="N8" s="26">
        <f t="shared" si="4"/>
        <v>1424883</v>
      </c>
      <c r="O8" s="393">
        <v>193484</v>
      </c>
      <c r="P8" s="393">
        <v>91171</v>
      </c>
      <c r="Q8" s="393">
        <v>1142493</v>
      </c>
      <c r="R8" s="34">
        <f>O8+P8+Q8</f>
        <v>1427148</v>
      </c>
      <c r="S8" s="67">
        <f t="shared" si="5"/>
        <v>-481</v>
      </c>
      <c r="T8" s="67">
        <f t="shared" si="6"/>
        <v>1139</v>
      </c>
      <c r="U8" s="67">
        <f t="shared" si="7"/>
        <v>1607</v>
      </c>
      <c r="V8" s="32">
        <f t="shared" si="0"/>
        <v>2265</v>
      </c>
      <c r="W8" s="32">
        <f aca="true" t="shared" si="13" ref="W8:W31">O8-C8</f>
        <v>-33745</v>
      </c>
      <c r="X8" s="32">
        <f t="shared" si="8"/>
        <v>-12729</v>
      </c>
      <c r="Y8" s="32">
        <f t="shared" si="9"/>
        <v>-18986</v>
      </c>
      <c r="Z8" s="32">
        <f t="shared" si="1"/>
        <v>-65460</v>
      </c>
      <c r="AA8" s="412"/>
      <c r="AB8" s="309">
        <f t="shared" si="10"/>
        <v>10.546296296296296</v>
      </c>
      <c r="AC8" s="309">
        <f t="shared" si="10"/>
        <v>0.5799350415012631</v>
      </c>
      <c r="AD8" s="310">
        <f t="shared" si="11"/>
        <v>-117.8611111111111</v>
      </c>
      <c r="AE8" s="310">
        <f t="shared" si="12"/>
        <v>-6.851678094550703</v>
      </c>
      <c r="AF8" s="51"/>
      <c r="AG8" s="51"/>
      <c r="AH8" s="51"/>
      <c r="AI8" s="51"/>
      <c r="AR8" s="50" t="s">
        <v>4</v>
      </c>
    </row>
    <row r="9" spans="1:44" ht="24.75" customHeight="1">
      <c r="A9" s="24">
        <v>4</v>
      </c>
      <c r="B9" s="25" t="s">
        <v>31</v>
      </c>
      <c r="C9" s="35">
        <v>379752</v>
      </c>
      <c r="D9" s="35">
        <v>284141</v>
      </c>
      <c r="E9" s="35">
        <v>4146820</v>
      </c>
      <c r="F9" s="26">
        <f t="shared" si="2"/>
        <v>4810713</v>
      </c>
      <c r="G9" s="365">
        <v>1000</v>
      </c>
      <c r="H9" s="365">
        <v>9000</v>
      </c>
      <c r="I9" s="365">
        <v>579900</v>
      </c>
      <c r="J9" s="26">
        <f t="shared" si="3"/>
        <v>589900</v>
      </c>
      <c r="K9" s="394">
        <v>215224</v>
      </c>
      <c r="L9" s="394">
        <v>126194</v>
      </c>
      <c r="M9" s="394">
        <v>4153412</v>
      </c>
      <c r="N9" s="26">
        <f t="shared" si="4"/>
        <v>4494830</v>
      </c>
      <c r="O9" s="394">
        <v>216168</v>
      </c>
      <c r="P9" s="394">
        <v>116049</v>
      </c>
      <c r="Q9" s="394">
        <v>4133622</v>
      </c>
      <c r="R9" s="35">
        <f aca="true" t="shared" si="14" ref="R9:R31">O9+P9+Q9</f>
        <v>4465839</v>
      </c>
      <c r="S9" s="68">
        <f t="shared" si="5"/>
        <v>944</v>
      </c>
      <c r="T9" s="68">
        <f t="shared" si="6"/>
        <v>-10145</v>
      </c>
      <c r="U9" s="68">
        <f t="shared" si="7"/>
        <v>-19790</v>
      </c>
      <c r="V9" s="26">
        <f t="shared" si="0"/>
        <v>-28991</v>
      </c>
      <c r="W9" s="26">
        <f t="shared" si="13"/>
        <v>-163584</v>
      </c>
      <c r="X9" s="26">
        <f t="shared" si="8"/>
        <v>-168092</v>
      </c>
      <c r="Y9" s="26">
        <f t="shared" si="9"/>
        <v>-13198</v>
      </c>
      <c r="Z9" s="26">
        <f t="shared" si="1"/>
        <v>-344874</v>
      </c>
      <c r="AA9" s="119"/>
      <c r="AB9" s="309">
        <f t="shared" si="10"/>
        <v>-112.72222222222221</v>
      </c>
      <c r="AC9" s="309">
        <f t="shared" si="10"/>
        <v>-3.41265735471633</v>
      </c>
      <c r="AD9" s="310">
        <f t="shared" si="11"/>
        <v>-1867.6888888888889</v>
      </c>
      <c r="AE9" s="310">
        <f t="shared" si="12"/>
        <v>-2.275909639593033</v>
      </c>
      <c r="AF9" s="51"/>
      <c r="AG9" s="51"/>
      <c r="AH9" s="51"/>
      <c r="AI9" s="51"/>
      <c r="AR9" s="50" t="s">
        <v>4</v>
      </c>
    </row>
    <row r="10" spans="1:44" ht="24.75" customHeight="1">
      <c r="A10" s="27">
        <v>5</v>
      </c>
      <c r="B10" s="28" t="s">
        <v>5</v>
      </c>
      <c r="C10" s="33">
        <v>147153</v>
      </c>
      <c r="D10" s="33">
        <v>130262</v>
      </c>
      <c r="E10" s="33">
        <v>1378965</v>
      </c>
      <c r="F10" s="29">
        <f t="shared" si="2"/>
        <v>1656380</v>
      </c>
      <c r="G10" s="366">
        <v>400</v>
      </c>
      <c r="H10" s="366">
        <v>12600</v>
      </c>
      <c r="I10" s="366">
        <v>130400</v>
      </c>
      <c r="J10" s="29">
        <f>G10+H10+I10</f>
        <v>143400</v>
      </c>
      <c r="K10" s="392">
        <v>143910</v>
      </c>
      <c r="L10" s="392">
        <v>120007</v>
      </c>
      <c r="M10" s="392">
        <v>1559488</v>
      </c>
      <c r="N10" s="26">
        <f t="shared" si="4"/>
        <v>1823405</v>
      </c>
      <c r="O10" s="392">
        <v>138488</v>
      </c>
      <c r="P10" s="392">
        <v>120076</v>
      </c>
      <c r="Q10" s="392">
        <v>1578863</v>
      </c>
      <c r="R10" s="33">
        <f t="shared" si="14"/>
        <v>1837427</v>
      </c>
      <c r="S10" s="66">
        <f t="shared" si="5"/>
        <v>-5422</v>
      </c>
      <c r="T10" s="66">
        <f>P10-L10</f>
        <v>69</v>
      </c>
      <c r="U10" s="66">
        <f t="shared" si="7"/>
        <v>19375</v>
      </c>
      <c r="V10" s="29">
        <f t="shared" si="0"/>
        <v>14022</v>
      </c>
      <c r="W10" s="29">
        <f t="shared" si="13"/>
        <v>-8665</v>
      </c>
      <c r="X10" s="29">
        <f t="shared" si="8"/>
        <v>-10186</v>
      </c>
      <c r="Y10" s="29">
        <f t="shared" si="9"/>
        <v>199898</v>
      </c>
      <c r="Z10" s="29">
        <f t="shared" si="1"/>
        <v>181047</v>
      </c>
      <c r="AA10" s="119"/>
      <c r="AB10" s="309">
        <f t="shared" si="10"/>
        <v>0.5476190476190477</v>
      </c>
      <c r="AC10" s="309">
        <f t="shared" si="10"/>
        <v>14.858128834355828</v>
      </c>
      <c r="AD10" s="310">
        <f t="shared" si="11"/>
        <v>-80.84126984126983</v>
      </c>
      <c r="AE10" s="310">
        <f>Y10/I10*100</f>
        <v>153.29601226993864</v>
      </c>
      <c r="AF10" s="51"/>
      <c r="AG10" s="51"/>
      <c r="AH10" s="51"/>
      <c r="AI10" s="51"/>
      <c r="AR10" s="50" t="s">
        <v>4</v>
      </c>
    </row>
    <row r="11" spans="1:44" ht="24.75" customHeight="1">
      <c r="A11" s="30">
        <v>6</v>
      </c>
      <c r="B11" s="31" t="s">
        <v>32</v>
      </c>
      <c r="C11" s="34">
        <v>1598630</v>
      </c>
      <c r="D11" s="34">
        <v>231887</v>
      </c>
      <c r="E11" s="34">
        <v>4000739</v>
      </c>
      <c r="F11" s="32">
        <f t="shared" si="2"/>
        <v>5831256</v>
      </c>
      <c r="G11" s="367">
        <v>9000</v>
      </c>
      <c r="H11" s="367">
        <v>8100</v>
      </c>
      <c r="I11" s="367">
        <v>343500</v>
      </c>
      <c r="J11" s="32">
        <f t="shared" si="3"/>
        <v>360600</v>
      </c>
      <c r="K11" s="393">
        <v>1564601</v>
      </c>
      <c r="L11" s="393">
        <v>129850</v>
      </c>
      <c r="M11" s="393">
        <v>4135177</v>
      </c>
      <c r="N11" s="26">
        <f t="shared" si="4"/>
        <v>5829628</v>
      </c>
      <c r="O11" s="393">
        <v>1565346</v>
      </c>
      <c r="P11" s="393">
        <v>124347</v>
      </c>
      <c r="Q11" s="393">
        <v>4155125</v>
      </c>
      <c r="R11" s="34">
        <f>O11+P11+Q11</f>
        <v>5844818</v>
      </c>
      <c r="S11" s="67">
        <f>O11-K11</f>
        <v>745</v>
      </c>
      <c r="T11" s="67">
        <f>P11-L11</f>
        <v>-5503</v>
      </c>
      <c r="U11" s="67">
        <f t="shared" si="7"/>
        <v>19948</v>
      </c>
      <c r="V11" s="32">
        <f t="shared" si="0"/>
        <v>15190</v>
      </c>
      <c r="W11" s="32">
        <f t="shared" si="13"/>
        <v>-33284</v>
      </c>
      <c r="X11" s="32">
        <f t="shared" si="8"/>
        <v>-107540</v>
      </c>
      <c r="Y11" s="32">
        <f t="shared" si="9"/>
        <v>154386</v>
      </c>
      <c r="Z11" s="32">
        <f t="shared" si="1"/>
        <v>13562</v>
      </c>
      <c r="AA11" s="119"/>
      <c r="AB11" s="309">
        <f t="shared" si="10"/>
        <v>-67.93827160493827</v>
      </c>
      <c r="AC11" s="309">
        <f t="shared" si="10"/>
        <v>5.807278020378457</v>
      </c>
      <c r="AD11" s="310">
        <f t="shared" si="11"/>
        <v>-1327.6543209876543</v>
      </c>
      <c r="AE11" s="310">
        <f t="shared" si="12"/>
        <v>44.94497816593886</v>
      </c>
      <c r="AF11" s="51"/>
      <c r="AG11" s="51"/>
      <c r="AH11" s="51"/>
      <c r="AI11" s="51"/>
      <c r="AR11" s="50" t="s">
        <v>4</v>
      </c>
    </row>
    <row r="12" spans="1:44" ht="24.75" customHeight="1">
      <c r="A12" s="24">
        <v>7</v>
      </c>
      <c r="B12" s="44" t="s">
        <v>66</v>
      </c>
      <c r="C12" s="35">
        <v>542975</v>
      </c>
      <c r="D12" s="35">
        <v>26031</v>
      </c>
      <c r="E12" s="35">
        <v>2972891</v>
      </c>
      <c r="F12" s="26">
        <f t="shared" si="2"/>
        <v>3541897</v>
      </c>
      <c r="G12" s="365">
        <v>2000</v>
      </c>
      <c r="H12" s="365">
        <v>18000</v>
      </c>
      <c r="I12" s="365">
        <v>191200</v>
      </c>
      <c r="J12" s="26">
        <f t="shared" si="3"/>
        <v>211200</v>
      </c>
      <c r="K12" s="394">
        <v>509455</v>
      </c>
      <c r="L12" s="394">
        <v>21210</v>
      </c>
      <c r="M12" s="394">
        <v>3031588</v>
      </c>
      <c r="N12" s="26">
        <f t="shared" si="4"/>
        <v>3562253</v>
      </c>
      <c r="O12" s="394">
        <v>505551</v>
      </c>
      <c r="P12" s="394">
        <v>20627</v>
      </c>
      <c r="Q12" s="394">
        <v>3052369</v>
      </c>
      <c r="R12" s="35">
        <f t="shared" si="14"/>
        <v>3578547</v>
      </c>
      <c r="S12" s="68">
        <f t="shared" si="5"/>
        <v>-3904</v>
      </c>
      <c r="T12" s="68">
        <f t="shared" si="6"/>
        <v>-583</v>
      </c>
      <c r="U12" s="68">
        <f t="shared" si="7"/>
        <v>20781</v>
      </c>
      <c r="V12" s="26">
        <f t="shared" si="0"/>
        <v>16294</v>
      </c>
      <c r="W12" s="26">
        <f t="shared" si="13"/>
        <v>-37424</v>
      </c>
      <c r="X12" s="26">
        <f t="shared" si="8"/>
        <v>-5404</v>
      </c>
      <c r="Y12" s="26">
        <f t="shared" si="9"/>
        <v>79478</v>
      </c>
      <c r="Z12" s="26">
        <f t="shared" si="1"/>
        <v>36650</v>
      </c>
      <c r="AA12" s="119"/>
      <c r="AB12" s="309">
        <f t="shared" si="10"/>
        <v>-3.238888888888889</v>
      </c>
      <c r="AC12" s="309">
        <f t="shared" si="10"/>
        <v>10.868723849372385</v>
      </c>
      <c r="AD12" s="310">
        <f t="shared" si="11"/>
        <v>-30.022222222222222</v>
      </c>
      <c r="AE12" s="310">
        <f t="shared" si="12"/>
        <v>41.56799163179916</v>
      </c>
      <c r="AF12" s="51"/>
      <c r="AG12" s="51"/>
      <c r="AH12" s="51"/>
      <c r="AI12" s="51"/>
      <c r="AR12" s="50" t="s">
        <v>4</v>
      </c>
    </row>
    <row r="13" spans="1:44" ht="24.75" customHeight="1">
      <c r="A13" s="27">
        <v>8</v>
      </c>
      <c r="B13" s="28" t="s">
        <v>67</v>
      </c>
      <c r="C13" s="33">
        <v>301845</v>
      </c>
      <c r="D13" s="33">
        <v>67783</v>
      </c>
      <c r="E13" s="33">
        <v>1609793</v>
      </c>
      <c r="F13" s="29">
        <f t="shared" si="2"/>
        <v>1979421</v>
      </c>
      <c r="G13" s="366">
        <v>1000</v>
      </c>
      <c r="H13" s="366">
        <v>11700</v>
      </c>
      <c r="I13" s="366">
        <v>131500</v>
      </c>
      <c r="J13" s="29">
        <f t="shared" si="3"/>
        <v>144200</v>
      </c>
      <c r="K13" s="392">
        <v>283597</v>
      </c>
      <c r="L13" s="392">
        <v>59006</v>
      </c>
      <c r="M13" s="392">
        <v>1542042</v>
      </c>
      <c r="N13" s="26">
        <f t="shared" si="4"/>
        <v>1884645</v>
      </c>
      <c r="O13" s="392">
        <v>280351</v>
      </c>
      <c r="P13" s="392">
        <v>58716</v>
      </c>
      <c r="Q13" s="392">
        <v>1556627</v>
      </c>
      <c r="R13" s="33">
        <f t="shared" si="14"/>
        <v>1895694</v>
      </c>
      <c r="S13" s="66">
        <f>O13-K13</f>
        <v>-3246</v>
      </c>
      <c r="T13" s="66">
        <f>P13-L13</f>
        <v>-290</v>
      </c>
      <c r="U13" s="66">
        <f>Q13-M13</f>
        <v>14585</v>
      </c>
      <c r="V13" s="418">
        <f t="shared" si="0"/>
        <v>11049</v>
      </c>
      <c r="W13" s="29">
        <f t="shared" si="13"/>
        <v>-21494</v>
      </c>
      <c r="X13" s="29">
        <f t="shared" si="8"/>
        <v>-9067</v>
      </c>
      <c r="Y13" s="29">
        <f t="shared" si="9"/>
        <v>-53166</v>
      </c>
      <c r="Z13" s="29">
        <f t="shared" si="1"/>
        <v>-83727</v>
      </c>
      <c r="AA13" s="119"/>
      <c r="AB13" s="309">
        <f t="shared" si="10"/>
        <v>-2.4786324786324787</v>
      </c>
      <c r="AC13" s="309">
        <f t="shared" si="10"/>
        <v>11.091254752851711</v>
      </c>
      <c r="AD13" s="310">
        <f t="shared" si="11"/>
        <v>-77.49572649572649</v>
      </c>
      <c r="AE13" s="310">
        <f t="shared" si="12"/>
        <v>-40.430418250950574</v>
      </c>
      <c r="AF13" s="51"/>
      <c r="AG13" s="51"/>
      <c r="AH13" s="51"/>
      <c r="AI13" s="51"/>
      <c r="AR13" s="50" t="s">
        <v>4</v>
      </c>
    </row>
    <row r="14" spans="1:35" ht="24.75" customHeight="1">
      <c r="A14" s="30">
        <v>9</v>
      </c>
      <c r="B14" s="31" t="s">
        <v>33</v>
      </c>
      <c r="C14" s="34">
        <v>203969</v>
      </c>
      <c r="D14" s="34">
        <v>76531</v>
      </c>
      <c r="E14" s="34">
        <v>969904</v>
      </c>
      <c r="F14" s="32">
        <f t="shared" si="2"/>
        <v>1250404</v>
      </c>
      <c r="G14" s="367">
        <v>2500</v>
      </c>
      <c r="H14" s="367">
        <v>11700</v>
      </c>
      <c r="I14" s="367">
        <v>53400</v>
      </c>
      <c r="J14" s="32">
        <f t="shared" si="3"/>
        <v>67600</v>
      </c>
      <c r="K14" s="393">
        <v>197867</v>
      </c>
      <c r="L14" s="393">
        <v>70081</v>
      </c>
      <c r="M14" s="393">
        <v>1092458</v>
      </c>
      <c r="N14" s="26">
        <f t="shared" si="4"/>
        <v>1360406</v>
      </c>
      <c r="O14" s="393">
        <v>196894</v>
      </c>
      <c r="P14" s="393">
        <v>68917</v>
      </c>
      <c r="Q14" s="393">
        <v>1091808</v>
      </c>
      <c r="R14" s="34">
        <f>O14+P14+Q14</f>
        <v>1357619</v>
      </c>
      <c r="S14" s="67">
        <f t="shared" si="5"/>
        <v>-973</v>
      </c>
      <c r="T14" s="67">
        <f t="shared" si="6"/>
        <v>-1164</v>
      </c>
      <c r="U14" s="67">
        <f t="shared" si="7"/>
        <v>-650</v>
      </c>
      <c r="V14" s="32">
        <f t="shared" si="0"/>
        <v>-2787</v>
      </c>
      <c r="W14" s="32">
        <f t="shared" si="13"/>
        <v>-7075</v>
      </c>
      <c r="X14" s="32">
        <f t="shared" si="8"/>
        <v>-7614</v>
      </c>
      <c r="Y14" s="32">
        <f t="shared" si="9"/>
        <v>121904</v>
      </c>
      <c r="Z14" s="32">
        <f t="shared" si="1"/>
        <v>107215</v>
      </c>
      <c r="AA14" s="119"/>
      <c r="AB14" s="309">
        <f t="shared" si="10"/>
        <v>-9.948717948717949</v>
      </c>
      <c r="AC14" s="309">
        <f t="shared" si="10"/>
        <v>-1.2172284644194757</v>
      </c>
      <c r="AD14" s="310">
        <f t="shared" si="11"/>
        <v>-65.07692307692308</v>
      </c>
      <c r="AE14" s="310">
        <f t="shared" si="12"/>
        <v>228.28464419475654</v>
      </c>
      <c r="AF14" s="51"/>
      <c r="AG14" s="51"/>
      <c r="AH14" s="51"/>
      <c r="AI14" s="51"/>
    </row>
    <row r="15" spans="1:35" ht="24.75" customHeight="1">
      <c r="A15" s="24">
        <v>10</v>
      </c>
      <c r="B15" s="25" t="s">
        <v>6</v>
      </c>
      <c r="C15" s="320">
        <v>215387</v>
      </c>
      <c r="D15" s="320">
        <v>102726</v>
      </c>
      <c r="E15" s="320">
        <v>1600991</v>
      </c>
      <c r="F15" s="26">
        <f t="shared" si="2"/>
        <v>1919104</v>
      </c>
      <c r="G15" s="365">
        <v>600</v>
      </c>
      <c r="H15" s="365">
        <v>9000</v>
      </c>
      <c r="I15" s="365">
        <v>221200</v>
      </c>
      <c r="J15" s="26">
        <f t="shared" si="3"/>
        <v>230800</v>
      </c>
      <c r="K15" s="398">
        <v>161008</v>
      </c>
      <c r="L15" s="398">
        <v>101587</v>
      </c>
      <c r="M15" s="398">
        <v>1594348</v>
      </c>
      <c r="N15" s="26">
        <f t="shared" si="4"/>
        <v>1856943</v>
      </c>
      <c r="O15" s="398">
        <v>161073</v>
      </c>
      <c r="P15" s="398">
        <v>101482</v>
      </c>
      <c r="Q15" s="398">
        <v>1586394</v>
      </c>
      <c r="R15" s="35">
        <f t="shared" si="14"/>
        <v>1848949</v>
      </c>
      <c r="S15" s="68">
        <f t="shared" si="5"/>
        <v>65</v>
      </c>
      <c r="T15" s="68">
        <f t="shared" si="6"/>
        <v>-105</v>
      </c>
      <c r="U15" s="68">
        <f t="shared" si="7"/>
        <v>-7954</v>
      </c>
      <c r="V15" s="26">
        <f t="shared" si="0"/>
        <v>-7994</v>
      </c>
      <c r="W15" s="26">
        <f t="shared" si="13"/>
        <v>-54314</v>
      </c>
      <c r="X15" s="26">
        <f t="shared" si="8"/>
        <v>-1244</v>
      </c>
      <c r="Y15" s="26">
        <f t="shared" si="9"/>
        <v>-14597</v>
      </c>
      <c r="Z15" s="26">
        <f t="shared" si="1"/>
        <v>-70155</v>
      </c>
      <c r="AA15" s="412"/>
      <c r="AB15" s="309">
        <f t="shared" si="10"/>
        <v>-1.1666666666666667</v>
      </c>
      <c r="AC15" s="309">
        <f t="shared" si="10"/>
        <v>-3.5958408679927665</v>
      </c>
      <c r="AD15" s="310">
        <f t="shared" si="11"/>
        <v>-13.822222222222221</v>
      </c>
      <c r="AE15" s="310">
        <f t="shared" si="12"/>
        <v>-6.599005424954791</v>
      </c>
      <c r="AF15" s="51"/>
      <c r="AG15" s="51"/>
      <c r="AH15" s="51"/>
      <c r="AI15" s="51"/>
    </row>
    <row r="16" spans="1:35" ht="24.75" customHeight="1">
      <c r="A16" s="27">
        <v>11</v>
      </c>
      <c r="B16" s="28" t="s">
        <v>126</v>
      </c>
      <c r="C16" s="33">
        <v>1963247</v>
      </c>
      <c r="D16" s="33">
        <v>361714</v>
      </c>
      <c r="E16" s="33">
        <v>6552974</v>
      </c>
      <c r="F16" s="29">
        <f t="shared" si="2"/>
        <v>8877935</v>
      </c>
      <c r="G16" s="366">
        <v>13000</v>
      </c>
      <c r="H16" s="366">
        <v>17100</v>
      </c>
      <c r="I16" s="366">
        <v>640000</v>
      </c>
      <c r="J16" s="29">
        <f t="shared" si="3"/>
        <v>670100</v>
      </c>
      <c r="K16" s="392">
        <v>1698816</v>
      </c>
      <c r="L16" s="392">
        <v>188186</v>
      </c>
      <c r="M16" s="392">
        <v>6834797</v>
      </c>
      <c r="N16" s="26">
        <f t="shared" si="4"/>
        <v>8721799</v>
      </c>
      <c r="O16" s="392">
        <v>1692804</v>
      </c>
      <c r="P16" s="392">
        <v>180807</v>
      </c>
      <c r="Q16" s="392">
        <v>6888979</v>
      </c>
      <c r="R16" s="33">
        <f t="shared" si="14"/>
        <v>8762590</v>
      </c>
      <c r="S16" s="66">
        <f t="shared" si="5"/>
        <v>-6012</v>
      </c>
      <c r="T16" s="66">
        <f t="shared" si="6"/>
        <v>-7379</v>
      </c>
      <c r="U16" s="66">
        <f t="shared" si="7"/>
        <v>54182</v>
      </c>
      <c r="V16" s="29">
        <f t="shared" si="0"/>
        <v>40791</v>
      </c>
      <c r="W16" s="29">
        <f t="shared" si="13"/>
        <v>-270443</v>
      </c>
      <c r="X16" s="29">
        <f t="shared" si="8"/>
        <v>-180907</v>
      </c>
      <c r="Y16" s="29">
        <f t="shared" si="9"/>
        <v>336005</v>
      </c>
      <c r="Z16" s="29">
        <f t="shared" si="1"/>
        <v>-115345</v>
      </c>
      <c r="AA16" s="119"/>
      <c r="AB16" s="309">
        <f t="shared" si="10"/>
        <v>-43.15204678362573</v>
      </c>
      <c r="AC16" s="309">
        <f t="shared" si="10"/>
        <v>8.465937499999999</v>
      </c>
      <c r="AD16" s="310">
        <f t="shared" si="11"/>
        <v>-1057.93567251462</v>
      </c>
      <c r="AE16" s="310">
        <f t="shared" si="12"/>
        <v>52.500781249999996</v>
      </c>
      <c r="AF16" s="51"/>
      <c r="AG16" s="51"/>
      <c r="AH16" s="51"/>
      <c r="AI16" s="51"/>
    </row>
    <row r="17" spans="1:35" ht="24.75" customHeight="1">
      <c r="A17" s="30">
        <v>12</v>
      </c>
      <c r="B17" s="31" t="s">
        <v>35</v>
      </c>
      <c r="C17" s="34">
        <v>3065384</v>
      </c>
      <c r="D17" s="34">
        <v>336779</v>
      </c>
      <c r="E17" s="34">
        <v>6775671</v>
      </c>
      <c r="F17" s="32">
        <f t="shared" si="2"/>
        <v>10177834</v>
      </c>
      <c r="G17" s="367">
        <v>18000</v>
      </c>
      <c r="H17" s="366">
        <v>55800</v>
      </c>
      <c r="I17" s="367">
        <v>583700</v>
      </c>
      <c r="J17" s="32">
        <f t="shared" si="3"/>
        <v>657500</v>
      </c>
      <c r="K17" s="34">
        <v>2963352</v>
      </c>
      <c r="L17" s="34">
        <v>293449</v>
      </c>
      <c r="M17" s="34">
        <v>7372813</v>
      </c>
      <c r="N17" s="26">
        <f t="shared" si="4"/>
        <v>10629614</v>
      </c>
      <c r="O17" s="34">
        <v>2954754</v>
      </c>
      <c r="P17" s="34">
        <v>291593</v>
      </c>
      <c r="Q17" s="34">
        <v>7413156</v>
      </c>
      <c r="R17" s="34">
        <f>O17+P17+Q17</f>
        <v>10659503</v>
      </c>
      <c r="S17" s="67">
        <f t="shared" si="5"/>
        <v>-8598</v>
      </c>
      <c r="T17" s="67">
        <f t="shared" si="6"/>
        <v>-1856</v>
      </c>
      <c r="U17" s="67">
        <f t="shared" si="7"/>
        <v>40343</v>
      </c>
      <c r="V17" s="32">
        <f t="shared" si="0"/>
        <v>29889</v>
      </c>
      <c r="W17" s="32">
        <f t="shared" si="13"/>
        <v>-110630</v>
      </c>
      <c r="X17" s="32">
        <f t="shared" si="8"/>
        <v>-45186</v>
      </c>
      <c r="Y17" s="32">
        <f t="shared" si="9"/>
        <v>637485</v>
      </c>
      <c r="Z17" s="32">
        <f>SUM(W17:Y17)</f>
        <v>481669</v>
      </c>
      <c r="AA17" s="119"/>
      <c r="AB17" s="309">
        <f t="shared" si="10"/>
        <v>-3.326164874551971</v>
      </c>
      <c r="AC17" s="309">
        <f t="shared" si="10"/>
        <v>6.911598423847868</v>
      </c>
      <c r="AD17" s="310">
        <f t="shared" si="11"/>
        <v>-80.97849462365592</v>
      </c>
      <c r="AE17" s="310">
        <f t="shared" si="12"/>
        <v>109.21449374678774</v>
      </c>
      <c r="AF17" s="51"/>
      <c r="AG17" s="51"/>
      <c r="AH17" s="51"/>
      <c r="AI17" s="51"/>
    </row>
    <row r="18" spans="1:35" ht="24.75" customHeight="1">
      <c r="A18" s="24">
        <v>13</v>
      </c>
      <c r="B18" s="25" t="s">
        <v>68</v>
      </c>
      <c r="C18" s="35">
        <v>703915</v>
      </c>
      <c r="D18" s="35">
        <v>151811</v>
      </c>
      <c r="E18" s="35">
        <v>3158815</v>
      </c>
      <c r="F18" s="26">
        <f t="shared" si="2"/>
        <v>4014541</v>
      </c>
      <c r="G18" s="365">
        <v>2000</v>
      </c>
      <c r="H18" s="365">
        <v>28800</v>
      </c>
      <c r="I18" s="365">
        <v>307500</v>
      </c>
      <c r="J18" s="26">
        <f t="shared" si="3"/>
        <v>338300</v>
      </c>
      <c r="K18" s="394">
        <v>691834</v>
      </c>
      <c r="L18" s="394">
        <v>93895</v>
      </c>
      <c r="M18" s="394">
        <v>3366777</v>
      </c>
      <c r="N18" s="26">
        <f t="shared" si="4"/>
        <v>4152506</v>
      </c>
      <c r="O18" s="394">
        <v>692532</v>
      </c>
      <c r="P18" s="394">
        <v>93618</v>
      </c>
      <c r="Q18" s="394">
        <v>3396917</v>
      </c>
      <c r="R18" s="35">
        <f t="shared" si="14"/>
        <v>4183067</v>
      </c>
      <c r="S18" s="68">
        <f t="shared" si="5"/>
        <v>698</v>
      </c>
      <c r="T18" s="68">
        <f t="shared" si="6"/>
        <v>-277</v>
      </c>
      <c r="U18" s="68">
        <f>Q18-M18</f>
        <v>30140</v>
      </c>
      <c r="V18" s="26">
        <f t="shared" si="0"/>
        <v>30561</v>
      </c>
      <c r="W18" s="26">
        <f t="shared" si="13"/>
        <v>-11383</v>
      </c>
      <c r="X18" s="26">
        <f t="shared" si="8"/>
        <v>-58193</v>
      </c>
      <c r="Y18" s="26">
        <f t="shared" si="9"/>
        <v>238102</v>
      </c>
      <c r="Z18" s="26">
        <f t="shared" si="1"/>
        <v>168526</v>
      </c>
      <c r="AA18" s="119"/>
      <c r="AB18" s="309">
        <f t="shared" si="10"/>
        <v>-0.9618055555555555</v>
      </c>
      <c r="AC18" s="309">
        <f t="shared" si="10"/>
        <v>9.801626016260162</v>
      </c>
      <c r="AD18" s="310">
        <f t="shared" si="11"/>
        <v>-202.0590277777778</v>
      </c>
      <c r="AE18" s="310">
        <f t="shared" si="12"/>
        <v>77.43154471544716</v>
      </c>
      <c r="AF18" s="51"/>
      <c r="AG18" s="51"/>
      <c r="AH18" s="51"/>
      <c r="AI18" s="51"/>
    </row>
    <row r="19" spans="1:35" ht="24.75" customHeight="1">
      <c r="A19" s="27">
        <v>14</v>
      </c>
      <c r="B19" s="28" t="s">
        <v>36</v>
      </c>
      <c r="C19" s="461">
        <v>2240187</v>
      </c>
      <c r="D19" s="340">
        <v>206044</v>
      </c>
      <c r="E19" s="462">
        <v>6020021</v>
      </c>
      <c r="F19" s="29">
        <f t="shared" si="2"/>
        <v>8466252</v>
      </c>
      <c r="G19" s="366">
        <v>16000</v>
      </c>
      <c r="H19" s="366">
        <v>60300</v>
      </c>
      <c r="I19" s="366">
        <v>579900</v>
      </c>
      <c r="J19" s="29">
        <f t="shared" si="3"/>
        <v>656200</v>
      </c>
      <c r="K19" s="399">
        <v>2097654</v>
      </c>
      <c r="L19" s="400">
        <v>153334</v>
      </c>
      <c r="M19" s="401">
        <v>6583966</v>
      </c>
      <c r="N19" s="26">
        <f t="shared" si="4"/>
        <v>8834954</v>
      </c>
      <c r="O19" s="454">
        <v>2065992</v>
      </c>
      <c r="P19" s="455">
        <v>152608</v>
      </c>
      <c r="Q19" s="455">
        <v>6647500</v>
      </c>
      <c r="R19" s="33">
        <f t="shared" si="14"/>
        <v>8866100</v>
      </c>
      <c r="S19" s="66">
        <f t="shared" si="5"/>
        <v>-31662</v>
      </c>
      <c r="T19" s="66">
        <f t="shared" si="6"/>
        <v>-726</v>
      </c>
      <c r="U19" s="66">
        <f t="shared" si="7"/>
        <v>63534</v>
      </c>
      <c r="V19" s="29">
        <f t="shared" si="0"/>
        <v>31146</v>
      </c>
      <c r="W19" s="29">
        <f t="shared" si="13"/>
        <v>-174195</v>
      </c>
      <c r="X19" s="29">
        <f t="shared" si="8"/>
        <v>-53436</v>
      </c>
      <c r="Y19" s="29">
        <f t="shared" si="9"/>
        <v>627479</v>
      </c>
      <c r="Z19" s="29">
        <f t="shared" si="1"/>
        <v>399848</v>
      </c>
      <c r="AA19" s="119"/>
      <c r="AB19" s="309">
        <f t="shared" si="10"/>
        <v>-1.2039800995024874</v>
      </c>
      <c r="AC19" s="309">
        <f t="shared" si="10"/>
        <v>10.95602690118986</v>
      </c>
      <c r="AD19" s="310">
        <f t="shared" si="11"/>
        <v>-88.61691542288557</v>
      </c>
      <c r="AE19" s="310">
        <f t="shared" si="12"/>
        <v>108.20469046387309</v>
      </c>
      <c r="AF19" s="51"/>
      <c r="AG19" s="51"/>
      <c r="AH19" s="51"/>
      <c r="AI19" s="51"/>
    </row>
    <row r="20" spans="1:35" ht="24.75" customHeight="1">
      <c r="A20" s="30">
        <v>15</v>
      </c>
      <c r="B20" s="31" t="s">
        <v>13</v>
      </c>
      <c r="C20" s="34">
        <v>141010</v>
      </c>
      <c r="D20" s="34">
        <v>75808</v>
      </c>
      <c r="E20" s="34">
        <v>733026</v>
      </c>
      <c r="F20" s="32">
        <f t="shared" si="2"/>
        <v>949844</v>
      </c>
      <c r="G20" s="367">
        <v>500</v>
      </c>
      <c r="H20" s="366">
        <v>4500</v>
      </c>
      <c r="I20" s="367">
        <v>94000</v>
      </c>
      <c r="J20" s="32">
        <f>G20+H20+I20</f>
        <v>99000</v>
      </c>
      <c r="K20" s="393">
        <v>139555</v>
      </c>
      <c r="L20" s="393">
        <v>69156</v>
      </c>
      <c r="M20" s="393">
        <v>847763</v>
      </c>
      <c r="N20" s="35">
        <f t="shared" si="4"/>
        <v>1056474</v>
      </c>
      <c r="O20" s="393">
        <v>139373</v>
      </c>
      <c r="P20" s="393">
        <v>68469</v>
      </c>
      <c r="Q20" s="393">
        <v>861461</v>
      </c>
      <c r="R20" s="34">
        <f t="shared" si="14"/>
        <v>1069303</v>
      </c>
      <c r="S20" s="67">
        <f t="shared" si="5"/>
        <v>-182</v>
      </c>
      <c r="T20" s="67">
        <f t="shared" si="6"/>
        <v>-687</v>
      </c>
      <c r="U20" s="67">
        <f t="shared" si="7"/>
        <v>13698</v>
      </c>
      <c r="V20" s="32">
        <f t="shared" si="0"/>
        <v>12829</v>
      </c>
      <c r="W20" s="32">
        <f t="shared" si="13"/>
        <v>-1637</v>
      </c>
      <c r="X20" s="32">
        <f t="shared" si="8"/>
        <v>-7339</v>
      </c>
      <c r="Y20" s="32">
        <f t="shared" si="9"/>
        <v>128435</v>
      </c>
      <c r="Z20" s="32">
        <f t="shared" si="1"/>
        <v>119459</v>
      </c>
      <c r="AA20" s="119"/>
      <c r="AB20" s="309">
        <f t="shared" si="10"/>
        <v>-15.266666666666667</v>
      </c>
      <c r="AC20" s="309">
        <f t="shared" si="10"/>
        <v>14.572340425531916</v>
      </c>
      <c r="AD20" s="310">
        <f t="shared" si="11"/>
        <v>-163.08888888888887</v>
      </c>
      <c r="AE20" s="310">
        <f t="shared" si="12"/>
        <v>136.63297872340425</v>
      </c>
      <c r="AF20" s="51"/>
      <c r="AG20" s="51"/>
      <c r="AH20" s="51"/>
      <c r="AI20" s="51"/>
    </row>
    <row r="21" spans="1:35" ht="24.75" customHeight="1">
      <c r="A21" s="27">
        <v>16</v>
      </c>
      <c r="B21" s="45" t="s">
        <v>12</v>
      </c>
      <c r="C21" s="35">
        <v>111119</v>
      </c>
      <c r="D21" s="35">
        <v>73600</v>
      </c>
      <c r="E21" s="35">
        <v>733914</v>
      </c>
      <c r="F21" s="26">
        <f t="shared" si="2"/>
        <v>918633</v>
      </c>
      <c r="G21" s="365">
        <v>500</v>
      </c>
      <c r="H21" s="365">
        <v>4500</v>
      </c>
      <c r="I21" s="365">
        <v>98300</v>
      </c>
      <c r="J21" s="26">
        <f t="shared" si="3"/>
        <v>103300</v>
      </c>
      <c r="K21" s="394">
        <v>77360</v>
      </c>
      <c r="L21" s="394">
        <v>77275</v>
      </c>
      <c r="M21" s="394">
        <v>739330</v>
      </c>
      <c r="N21" s="26">
        <f t="shared" si="4"/>
        <v>893965</v>
      </c>
      <c r="O21" s="394">
        <v>77486</v>
      </c>
      <c r="P21" s="394">
        <v>77811</v>
      </c>
      <c r="Q21" s="394">
        <v>732549</v>
      </c>
      <c r="R21" s="35">
        <f t="shared" si="14"/>
        <v>887846</v>
      </c>
      <c r="S21" s="68">
        <f t="shared" si="5"/>
        <v>126</v>
      </c>
      <c r="T21" s="68">
        <f t="shared" si="6"/>
        <v>536</v>
      </c>
      <c r="U21" s="66">
        <f t="shared" si="7"/>
        <v>-6781</v>
      </c>
      <c r="V21" s="26">
        <f t="shared" si="0"/>
        <v>-6119</v>
      </c>
      <c r="W21" s="26">
        <f t="shared" si="13"/>
        <v>-33633</v>
      </c>
      <c r="X21" s="26">
        <f t="shared" si="8"/>
        <v>4211</v>
      </c>
      <c r="Y21" s="26">
        <f t="shared" si="9"/>
        <v>-1365</v>
      </c>
      <c r="Z21" s="26">
        <f t="shared" si="1"/>
        <v>-30787</v>
      </c>
      <c r="AA21" s="119"/>
      <c r="AB21" s="309">
        <f t="shared" si="10"/>
        <v>11.911111111111111</v>
      </c>
      <c r="AC21" s="309">
        <f t="shared" si="10"/>
        <v>-6.898270600203459</v>
      </c>
      <c r="AD21" s="312">
        <f t="shared" si="11"/>
        <v>93.57777777777778</v>
      </c>
      <c r="AE21" s="310">
        <f t="shared" si="12"/>
        <v>-1.3886063072227874</v>
      </c>
      <c r="AF21" s="51"/>
      <c r="AG21" s="51"/>
      <c r="AH21" s="51"/>
      <c r="AI21" s="51"/>
    </row>
    <row r="22" spans="1:35" ht="24.75" customHeight="1">
      <c r="A22" s="27">
        <v>17</v>
      </c>
      <c r="B22" s="28" t="s">
        <v>69</v>
      </c>
      <c r="C22" s="33">
        <v>451480</v>
      </c>
      <c r="D22" s="33">
        <v>130341</v>
      </c>
      <c r="E22" s="33">
        <v>4314273</v>
      </c>
      <c r="F22" s="29">
        <f t="shared" si="2"/>
        <v>4896094</v>
      </c>
      <c r="G22" s="366">
        <v>1000</v>
      </c>
      <c r="H22" s="366">
        <v>11700</v>
      </c>
      <c r="I22" s="366">
        <v>617200</v>
      </c>
      <c r="J22" s="29">
        <f t="shared" si="3"/>
        <v>629900</v>
      </c>
      <c r="K22" s="392">
        <v>385484</v>
      </c>
      <c r="L22" s="392">
        <v>73701</v>
      </c>
      <c r="M22" s="392">
        <v>4396977</v>
      </c>
      <c r="N22" s="26">
        <f>K22+L22+M22</f>
        <v>4856162</v>
      </c>
      <c r="O22" s="392">
        <v>385096</v>
      </c>
      <c r="P22" s="392">
        <v>73043</v>
      </c>
      <c r="Q22" s="392">
        <v>4430629</v>
      </c>
      <c r="R22" s="33">
        <f t="shared" si="14"/>
        <v>4888768</v>
      </c>
      <c r="S22" s="66">
        <f t="shared" si="5"/>
        <v>-388</v>
      </c>
      <c r="T22" s="66">
        <f t="shared" si="6"/>
        <v>-658</v>
      </c>
      <c r="U22" s="66">
        <f t="shared" si="7"/>
        <v>33652</v>
      </c>
      <c r="V22" s="29">
        <f t="shared" si="0"/>
        <v>32606</v>
      </c>
      <c r="W22" s="29">
        <f>O22-C22</f>
        <v>-66384</v>
      </c>
      <c r="X22" s="29">
        <f t="shared" si="8"/>
        <v>-57298</v>
      </c>
      <c r="Y22" s="29">
        <f t="shared" si="9"/>
        <v>116356</v>
      </c>
      <c r="Z22" s="29">
        <f t="shared" si="1"/>
        <v>-7326</v>
      </c>
      <c r="AA22" s="119"/>
      <c r="AB22" s="309">
        <f t="shared" si="10"/>
        <v>-5.6239316239316235</v>
      </c>
      <c r="AC22" s="309">
        <f t="shared" si="10"/>
        <v>5.452365521710953</v>
      </c>
      <c r="AD22" s="310">
        <f t="shared" si="11"/>
        <v>-489.72649572649567</v>
      </c>
      <c r="AE22" s="310">
        <f t="shared" si="12"/>
        <v>18.852235904082956</v>
      </c>
      <c r="AF22" s="51"/>
      <c r="AG22" s="51"/>
      <c r="AH22" s="51"/>
      <c r="AI22" s="51"/>
    </row>
    <row r="23" spans="1:35" ht="24.75" customHeight="1">
      <c r="A23" s="30">
        <v>18</v>
      </c>
      <c r="B23" s="31" t="s">
        <v>37</v>
      </c>
      <c r="C23" s="34">
        <v>1089917</v>
      </c>
      <c r="D23" s="34">
        <v>57261</v>
      </c>
      <c r="E23" s="321">
        <v>4630076</v>
      </c>
      <c r="F23" s="32">
        <f>C23+D23+E23</f>
        <v>5777254</v>
      </c>
      <c r="G23" s="367">
        <v>2500</v>
      </c>
      <c r="H23" s="367">
        <v>20700</v>
      </c>
      <c r="I23" s="367">
        <v>410400</v>
      </c>
      <c r="J23" s="32">
        <f t="shared" si="3"/>
        <v>433600</v>
      </c>
      <c r="K23" s="393">
        <v>1019448</v>
      </c>
      <c r="L23" s="393">
        <v>41977</v>
      </c>
      <c r="M23" s="396">
        <v>4355262</v>
      </c>
      <c r="N23" s="26">
        <f t="shared" si="4"/>
        <v>5416687</v>
      </c>
      <c r="O23" s="393">
        <v>998508</v>
      </c>
      <c r="P23" s="393">
        <v>41137</v>
      </c>
      <c r="Q23" s="396">
        <v>4354007</v>
      </c>
      <c r="R23" s="34">
        <f t="shared" si="14"/>
        <v>5393652</v>
      </c>
      <c r="S23" s="67">
        <f t="shared" si="5"/>
        <v>-20940</v>
      </c>
      <c r="T23" s="66">
        <f t="shared" si="6"/>
        <v>-840</v>
      </c>
      <c r="U23" s="67">
        <f t="shared" si="7"/>
        <v>-1255</v>
      </c>
      <c r="V23" s="32">
        <f t="shared" si="0"/>
        <v>-23035</v>
      </c>
      <c r="W23" s="32">
        <f t="shared" si="13"/>
        <v>-91409</v>
      </c>
      <c r="X23" s="32">
        <f t="shared" si="8"/>
        <v>-16124</v>
      </c>
      <c r="Y23" s="32">
        <f t="shared" si="9"/>
        <v>-276069</v>
      </c>
      <c r="Z23" s="32">
        <f t="shared" si="1"/>
        <v>-383602</v>
      </c>
      <c r="AA23" s="119"/>
      <c r="AB23" s="309">
        <f t="shared" si="10"/>
        <v>-4.057971014492753</v>
      </c>
      <c r="AC23" s="309">
        <f t="shared" si="10"/>
        <v>-0.30579922027290446</v>
      </c>
      <c r="AD23" s="310">
        <f t="shared" si="11"/>
        <v>-77.89371980676329</v>
      </c>
      <c r="AE23" s="310">
        <f t="shared" si="12"/>
        <v>-67.26827485380117</v>
      </c>
      <c r="AF23" s="51"/>
      <c r="AG23" s="51"/>
      <c r="AH23" s="51"/>
      <c r="AI23" s="51"/>
    </row>
    <row r="24" spans="1:35" ht="24.75" customHeight="1">
      <c r="A24" s="24">
        <v>19</v>
      </c>
      <c r="B24" s="25" t="s">
        <v>70</v>
      </c>
      <c r="C24" s="35">
        <v>1046625</v>
      </c>
      <c r="D24" s="35">
        <v>207161</v>
      </c>
      <c r="E24" s="35">
        <v>5444689</v>
      </c>
      <c r="F24" s="26">
        <f t="shared" si="2"/>
        <v>6698475</v>
      </c>
      <c r="G24" s="365">
        <v>2500</v>
      </c>
      <c r="H24" s="365">
        <v>33300</v>
      </c>
      <c r="I24" s="365">
        <v>563300</v>
      </c>
      <c r="J24" s="26">
        <f t="shared" si="3"/>
        <v>599100</v>
      </c>
      <c r="K24" s="394">
        <v>928757</v>
      </c>
      <c r="L24" s="394">
        <v>181323</v>
      </c>
      <c r="M24" s="394">
        <v>5730522</v>
      </c>
      <c r="N24" s="26">
        <f t="shared" si="4"/>
        <v>6840602</v>
      </c>
      <c r="O24" s="394">
        <v>904855</v>
      </c>
      <c r="P24" s="394">
        <v>181344</v>
      </c>
      <c r="Q24" s="394">
        <v>5760517</v>
      </c>
      <c r="R24" s="35">
        <f>O24+P24+Q24</f>
        <v>6846716</v>
      </c>
      <c r="S24" s="68">
        <f t="shared" si="5"/>
        <v>-23902</v>
      </c>
      <c r="T24" s="68">
        <f t="shared" si="6"/>
        <v>21</v>
      </c>
      <c r="U24" s="68">
        <f t="shared" si="7"/>
        <v>29995</v>
      </c>
      <c r="V24" s="26">
        <f t="shared" si="0"/>
        <v>6114</v>
      </c>
      <c r="W24" s="26">
        <f t="shared" si="13"/>
        <v>-141770</v>
      </c>
      <c r="X24" s="26">
        <f t="shared" si="8"/>
        <v>-25817</v>
      </c>
      <c r="Y24" s="26">
        <f t="shared" si="9"/>
        <v>315828</v>
      </c>
      <c r="Z24" s="26">
        <f t="shared" si="1"/>
        <v>148241</v>
      </c>
      <c r="AA24" s="119"/>
      <c r="AB24" s="309">
        <f t="shared" si="10"/>
        <v>0.06306306306306306</v>
      </c>
      <c r="AC24" s="309">
        <f t="shared" si="10"/>
        <v>5.324871294159418</v>
      </c>
      <c r="AD24" s="310">
        <f t="shared" si="11"/>
        <v>-77.52852852852853</v>
      </c>
      <c r="AE24" s="310">
        <f t="shared" si="12"/>
        <v>56.06745961299485</v>
      </c>
      <c r="AF24" s="51"/>
      <c r="AG24" s="51"/>
      <c r="AH24" s="51"/>
      <c r="AI24" s="51"/>
    </row>
    <row r="25" spans="1:35" ht="24.75" customHeight="1">
      <c r="A25" s="27">
        <v>20</v>
      </c>
      <c r="B25" s="28" t="s">
        <v>71</v>
      </c>
      <c r="C25" s="33">
        <v>1665407</v>
      </c>
      <c r="D25" s="33">
        <v>417327</v>
      </c>
      <c r="E25" s="33">
        <v>7624774</v>
      </c>
      <c r="F25" s="29">
        <f t="shared" si="2"/>
        <v>9707508</v>
      </c>
      <c r="G25" s="366">
        <v>7000</v>
      </c>
      <c r="H25" s="366">
        <v>17100</v>
      </c>
      <c r="I25" s="366">
        <v>737300</v>
      </c>
      <c r="J25" s="29">
        <f t="shared" si="3"/>
        <v>761400</v>
      </c>
      <c r="K25" s="33">
        <v>1598166</v>
      </c>
      <c r="L25" s="33">
        <v>105387</v>
      </c>
      <c r="M25" s="33">
        <v>7793655</v>
      </c>
      <c r="N25" s="26">
        <f t="shared" si="4"/>
        <v>9497208</v>
      </c>
      <c r="O25" s="33">
        <v>1592207</v>
      </c>
      <c r="P25" s="33">
        <v>100128</v>
      </c>
      <c r="Q25" s="33">
        <v>7849734</v>
      </c>
      <c r="R25" s="33">
        <f>O25+P25+Q25</f>
        <v>9542069</v>
      </c>
      <c r="S25" s="66">
        <f>O25-K25</f>
        <v>-5959</v>
      </c>
      <c r="T25" s="66">
        <f t="shared" si="6"/>
        <v>-5259</v>
      </c>
      <c r="U25" s="66">
        <f t="shared" si="7"/>
        <v>56079</v>
      </c>
      <c r="V25" s="29">
        <f t="shared" si="0"/>
        <v>44861</v>
      </c>
      <c r="W25" s="29">
        <f>O25-C25</f>
        <v>-73200</v>
      </c>
      <c r="X25" s="29">
        <f>P25-D25</f>
        <v>-317199</v>
      </c>
      <c r="Y25" s="29">
        <f t="shared" si="9"/>
        <v>224960</v>
      </c>
      <c r="Z25" s="29">
        <f t="shared" si="1"/>
        <v>-165439</v>
      </c>
      <c r="AA25" s="119"/>
      <c r="AB25" s="309">
        <f t="shared" si="10"/>
        <v>-30.754385964912277</v>
      </c>
      <c r="AC25" s="309">
        <f t="shared" si="10"/>
        <v>7.605994846059949</v>
      </c>
      <c r="AD25" s="310">
        <f t="shared" si="11"/>
        <v>-1854.9649122807018</v>
      </c>
      <c r="AE25" s="310">
        <f t="shared" si="12"/>
        <v>30.51132510511325</v>
      </c>
      <c r="AF25" s="51"/>
      <c r="AG25" s="51"/>
      <c r="AH25" s="51"/>
      <c r="AI25" s="51"/>
    </row>
    <row r="26" spans="1:35" ht="24.75" customHeight="1">
      <c r="A26" s="30">
        <v>21</v>
      </c>
      <c r="B26" s="31" t="s">
        <v>72</v>
      </c>
      <c r="C26" s="34">
        <v>220416</v>
      </c>
      <c r="D26" s="34">
        <v>58335</v>
      </c>
      <c r="E26" s="34">
        <v>1360674</v>
      </c>
      <c r="F26" s="32">
        <f t="shared" si="2"/>
        <v>1639425</v>
      </c>
      <c r="G26" s="367">
        <v>500</v>
      </c>
      <c r="H26" s="367">
        <v>9900</v>
      </c>
      <c r="I26" s="367">
        <v>183600</v>
      </c>
      <c r="J26" s="32">
        <f t="shared" si="3"/>
        <v>194000</v>
      </c>
      <c r="K26" s="34">
        <v>202851</v>
      </c>
      <c r="L26" s="34">
        <v>46265</v>
      </c>
      <c r="M26" s="34">
        <v>1344832</v>
      </c>
      <c r="N26" s="26">
        <f t="shared" si="4"/>
        <v>1593948</v>
      </c>
      <c r="O26" s="34">
        <v>202800</v>
      </c>
      <c r="P26" s="34">
        <v>45826</v>
      </c>
      <c r="Q26" s="34">
        <v>1344799</v>
      </c>
      <c r="R26" s="34">
        <f>O26+P26+Q26</f>
        <v>1593425</v>
      </c>
      <c r="S26" s="67">
        <f t="shared" si="5"/>
        <v>-51</v>
      </c>
      <c r="T26" s="66">
        <f>P26-L26</f>
        <v>-439</v>
      </c>
      <c r="U26" s="67">
        <f t="shared" si="7"/>
        <v>-33</v>
      </c>
      <c r="V26" s="32">
        <f t="shared" si="0"/>
        <v>-523</v>
      </c>
      <c r="W26" s="32">
        <f t="shared" si="13"/>
        <v>-17616</v>
      </c>
      <c r="X26" s="32">
        <f t="shared" si="8"/>
        <v>-12509</v>
      </c>
      <c r="Y26" s="32">
        <f t="shared" si="9"/>
        <v>-15875</v>
      </c>
      <c r="Z26" s="32">
        <f t="shared" si="1"/>
        <v>-46000</v>
      </c>
      <c r="AA26" s="119"/>
      <c r="AB26" s="309">
        <f t="shared" si="10"/>
        <v>-4.434343434343434</v>
      </c>
      <c r="AC26" s="309">
        <f t="shared" si="10"/>
        <v>-0.017973856209150325</v>
      </c>
      <c r="AD26" s="310">
        <f t="shared" si="11"/>
        <v>-126.35353535353535</v>
      </c>
      <c r="AE26" s="310">
        <f t="shared" si="12"/>
        <v>-8.646514161220043</v>
      </c>
      <c r="AF26" s="51"/>
      <c r="AG26" s="51"/>
      <c r="AH26" s="51"/>
      <c r="AI26" s="51"/>
    </row>
    <row r="27" spans="1:35" ht="24.75" customHeight="1">
      <c r="A27" s="24">
        <v>22</v>
      </c>
      <c r="B27" s="25" t="s">
        <v>7</v>
      </c>
      <c r="C27" s="35">
        <v>1167606</v>
      </c>
      <c r="D27" s="35">
        <v>449328</v>
      </c>
      <c r="E27" s="35">
        <v>9667435</v>
      </c>
      <c r="F27" s="26">
        <f t="shared" si="2"/>
        <v>11284369</v>
      </c>
      <c r="G27" s="365">
        <v>3000</v>
      </c>
      <c r="H27" s="365">
        <v>22500</v>
      </c>
      <c r="I27" s="365">
        <v>1286400</v>
      </c>
      <c r="J27" s="26">
        <f t="shared" si="3"/>
        <v>1311900</v>
      </c>
      <c r="K27" s="35">
        <v>950351</v>
      </c>
      <c r="L27" s="35">
        <v>422059</v>
      </c>
      <c r="M27" s="35">
        <v>9881250</v>
      </c>
      <c r="N27" s="35">
        <f t="shared" si="4"/>
        <v>11253660</v>
      </c>
      <c r="O27" s="35">
        <v>947448</v>
      </c>
      <c r="P27" s="35">
        <v>420746</v>
      </c>
      <c r="Q27" s="35">
        <v>9961964</v>
      </c>
      <c r="R27" s="35">
        <f t="shared" si="14"/>
        <v>11330158</v>
      </c>
      <c r="S27" s="68">
        <f t="shared" si="5"/>
        <v>-2903</v>
      </c>
      <c r="T27" s="68">
        <f t="shared" si="6"/>
        <v>-1313</v>
      </c>
      <c r="U27" s="68">
        <f>Q27-M27</f>
        <v>80714</v>
      </c>
      <c r="V27" s="26">
        <f>SUM(S27:U27)</f>
        <v>76498</v>
      </c>
      <c r="W27" s="26">
        <f t="shared" si="13"/>
        <v>-220158</v>
      </c>
      <c r="X27" s="26">
        <f t="shared" si="8"/>
        <v>-28582</v>
      </c>
      <c r="Y27" s="26">
        <f t="shared" si="9"/>
        <v>294529</v>
      </c>
      <c r="Z27" s="26">
        <f t="shared" si="1"/>
        <v>45789</v>
      </c>
      <c r="AA27" s="119"/>
      <c r="AB27" s="309">
        <f t="shared" si="10"/>
        <v>-5.835555555555556</v>
      </c>
      <c r="AC27" s="309">
        <f t="shared" si="10"/>
        <v>6.2744092039801</v>
      </c>
      <c r="AD27" s="312">
        <f t="shared" si="11"/>
        <v>-127.03111111111112</v>
      </c>
      <c r="AE27" s="310">
        <f t="shared" si="12"/>
        <v>22.89560012437811</v>
      </c>
      <c r="AF27" s="51"/>
      <c r="AG27" s="51"/>
      <c r="AH27" s="51"/>
      <c r="AI27" s="51"/>
    </row>
    <row r="28" spans="1:35" ht="24.75" customHeight="1">
      <c r="A28" s="27">
        <v>23</v>
      </c>
      <c r="B28" s="28" t="s">
        <v>8</v>
      </c>
      <c r="C28" s="322">
        <v>538940</v>
      </c>
      <c r="D28" s="322">
        <v>96981</v>
      </c>
      <c r="E28" s="33">
        <v>3284147</v>
      </c>
      <c r="F28" s="29">
        <f t="shared" si="2"/>
        <v>3920068</v>
      </c>
      <c r="G28" s="366">
        <v>3000</v>
      </c>
      <c r="H28" s="366">
        <v>12600</v>
      </c>
      <c r="I28" s="366">
        <v>441600</v>
      </c>
      <c r="J28" s="29">
        <f t="shared" si="3"/>
        <v>457200</v>
      </c>
      <c r="K28" s="322">
        <v>531195</v>
      </c>
      <c r="L28" s="322">
        <v>88386</v>
      </c>
      <c r="M28" s="33">
        <v>3424008</v>
      </c>
      <c r="N28" s="26">
        <f t="shared" si="4"/>
        <v>4043589</v>
      </c>
      <c r="O28" s="322">
        <v>529480</v>
      </c>
      <c r="P28" s="322">
        <v>88129</v>
      </c>
      <c r="Q28" s="33">
        <v>3436516</v>
      </c>
      <c r="R28" s="33">
        <f t="shared" si="14"/>
        <v>4054125</v>
      </c>
      <c r="S28" s="66">
        <f>O28-K28</f>
        <v>-1715</v>
      </c>
      <c r="T28" s="66">
        <f>P28-L28</f>
        <v>-257</v>
      </c>
      <c r="U28" s="66">
        <f>Q28-M28</f>
        <v>12508</v>
      </c>
      <c r="V28" s="29">
        <f t="shared" si="0"/>
        <v>10536</v>
      </c>
      <c r="W28" s="29">
        <f t="shared" si="13"/>
        <v>-9460</v>
      </c>
      <c r="X28" s="29">
        <f t="shared" si="8"/>
        <v>-8852</v>
      </c>
      <c r="Y28" s="29">
        <f t="shared" si="9"/>
        <v>152369</v>
      </c>
      <c r="Z28" s="29">
        <f t="shared" si="1"/>
        <v>134057</v>
      </c>
      <c r="AA28" s="119"/>
      <c r="AB28" s="309">
        <f t="shared" si="10"/>
        <v>-2.0396825396825395</v>
      </c>
      <c r="AC28" s="309">
        <f t="shared" si="10"/>
        <v>2.8324275362318843</v>
      </c>
      <c r="AD28" s="310">
        <f t="shared" si="11"/>
        <v>-70.25396825396825</v>
      </c>
      <c r="AE28" s="310">
        <f t="shared" si="12"/>
        <v>34.503849637681164</v>
      </c>
      <c r="AF28" s="51"/>
      <c r="AG28" s="51"/>
      <c r="AH28" s="51"/>
      <c r="AI28" s="51"/>
    </row>
    <row r="29" spans="1:35" ht="24.75" customHeight="1">
      <c r="A29" s="30">
        <v>24</v>
      </c>
      <c r="B29" s="31" t="s">
        <v>40</v>
      </c>
      <c r="C29" s="34">
        <v>656505</v>
      </c>
      <c r="D29" s="34">
        <v>73593</v>
      </c>
      <c r="E29" s="34">
        <v>3331808</v>
      </c>
      <c r="F29" s="32">
        <f t="shared" si="2"/>
        <v>4061906</v>
      </c>
      <c r="G29" s="367">
        <v>2500</v>
      </c>
      <c r="H29" s="366">
        <v>13500</v>
      </c>
      <c r="I29" s="367">
        <v>426000</v>
      </c>
      <c r="J29" s="32">
        <f>G29+H29+I29</f>
        <v>442000</v>
      </c>
      <c r="K29" s="34">
        <v>570367</v>
      </c>
      <c r="L29" s="34">
        <v>64868</v>
      </c>
      <c r="M29" s="34">
        <v>3347228</v>
      </c>
      <c r="N29" s="26">
        <f t="shared" si="4"/>
        <v>3982463</v>
      </c>
      <c r="O29" s="34">
        <v>528844</v>
      </c>
      <c r="P29" s="34">
        <v>63838</v>
      </c>
      <c r="Q29" s="34">
        <v>3343580</v>
      </c>
      <c r="R29" s="34">
        <f t="shared" si="14"/>
        <v>3936262</v>
      </c>
      <c r="S29" s="67">
        <f t="shared" si="5"/>
        <v>-41523</v>
      </c>
      <c r="T29" s="66">
        <f t="shared" si="6"/>
        <v>-1030</v>
      </c>
      <c r="U29" s="67">
        <f>Q29-M29</f>
        <v>-3648</v>
      </c>
      <c r="V29" s="32">
        <f t="shared" si="0"/>
        <v>-46201</v>
      </c>
      <c r="W29" s="32">
        <f t="shared" si="13"/>
        <v>-127661</v>
      </c>
      <c r="X29" s="32">
        <f t="shared" si="8"/>
        <v>-9755</v>
      </c>
      <c r="Y29" s="32">
        <f t="shared" si="9"/>
        <v>11772</v>
      </c>
      <c r="Z29" s="32">
        <f t="shared" si="1"/>
        <v>-125644</v>
      </c>
      <c r="AA29" s="119"/>
      <c r="AB29" s="309">
        <f t="shared" si="10"/>
        <v>-7.629629629629629</v>
      </c>
      <c r="AC29" s="309">
        <f t="shared" si="10"/>
        <v>-0.856338028169014</v>
      </c>
      <c r="AD29" s="310">
        <f t="shared" si="11"/>
        <v>-72.25925925925925</v>
      </c>
      <c r="AE29" s="310">
        <f t="shared" si="12"/>
        <v>2.763380281690141</v>
      </c>
      <c r="AF29" s="51"/>
      <c r="AG29" s="51"/>
      <c r="AH29" s="51"/>
      <c r="AI29" s="51"/>
    </row>
    <row r="30" spans="1:35" ht="24.75" customHeight="1">
      <c r="A30" s="24">
        <v>25</v>
      </c>
      <c r="B30" s="25" t="s">
        <v>9</v>
      </c>
      <c r="C30" s="35">
        <v>975123</v>
      </c>
      <c r="D30" s="35">
        <v>36660</v>
      </c>
      <c r="E30" s="35">
        <v>2389618</v>
      </c>
      <c r="F30" s="26">
        <f t="shared" si="2"/>
        <v>3401401</v>
      </c>
      <c r="G30" s="365">
        <v>3000</v>
      </c>
      <c r="H30" s="365">
        <v>10800</v>
      </c>
      <c r="I30" s="365">
        <v>138800</v>
      </c>
      <c r="J30" s="26">
        <f t="shared" si="3"/>
        <v>152600</v>
      </c>
      <c r="K30" s="35">
        <v>935168</v>
      </c>
      <c r="L30" s="35">
        <v>24524</v>
      </c>
      <c r="M30" s="35">
        <v>2271280</v>
      </c>
      <c r="N30" s="26">
        <f t="shared" si="4"/>
        <v>3230972</v>
      </c>
      <c r="O30" s="35">
        <v>933919</v>
      </c>
      <c r="P30" s="35">
        <v>24440</v>
      </c>
      <c r="Q30" s="35">
        <v>2266809</v>
      </c>
      <c r="R30" s="35">
        <f t="shared" si="14"/>
        <v>3225168</v>
      </c>
      <c r="S30" s="68">
        <f t="shared" si="5"/>
        <v>-1249</v>
      </c>
      <c r="T30" s="68">
        <f t="shared" si="6"/>
        <v>-84</v>
      </c>
      <c r="U30" s="68">
        <f t="shared" si="7"/>
        <v>-4471</v>
      </c>
      <c r="V30" s="26">
        <f t="shared" si="0"/>
        <v>-5804</v>
      </c>
      <c r="W30" s="26">
        <f t="shared" si="13"/>
        <v>-41204</v>
      </c>
      <c r="X30" s="26">
        <f t="shared" si="8"/>
        <v>-12220</v>
      </c>
      <c r="Y30" s="26">
        <f t="shared" si="9"/>
        <v>-122809</v>
      </c>
      <c r="Z30" s="26">
        <f t="shared" si="1"/>
        <v>-176233</v>
      </c>
      <c r="AA30" s="119"/>
      <c r="AB30" s="309">
        <f t="shared" si="10"/>
        <v>-0.7777777777777778</v>
      </c>
      <c r="AC30" s="309">
        <f t="shared" si="10"/>
        <v>-3.221181556195966</v>
      </c>
      <c r="AD30" s="310">
        <f t="shared" si="11"/>
        <v>-113.14814814814815</v>
      </c>
      <c r="AE30" s="310">
        <f t="shared" si="12"/>
        <v>-88.47910662824208</v>
      </c>
      <c r="AF30" s="51"/>
      <c r="AG30" s="51"/>
      <c r="AH30" s="51"/>
      <c r="AI30" s="51"/>
    </row>
    <row r="31" spans="1:35" ht="24.75" customHeight="1">
      <c r="A31" s="30">
        <v>26</v>
      </c>
      <c r="B31" s="31" t="s">
        <v>10</v>
      </c>
      <c r="C31" s="33">
        <v>827945</v>
      </c>
      <c r="D31" s="33">
        <v>21981</v>
      </c>
      <c r="E31" s="33">
        <v>1658232</v>
      </c>
      <c r="F31" s="29">
        <f t="shared" si="2"/>
        <v>2508158</v>
      </c>
      <c r="G31" s="366">
        <v>2000</v>
      </c>
      <c r="H31" s="367">
        <v>7200</v>
      </c>
      <c r="I31" s="366">
        <v>116800</v>
      </c>
      <c r="J31" s="32">
        <f>G31+H31+I31</f>
        <v>126000</v>
      </c>
      <c r="K31" s="33">
        <v>817907</v>
      </c>
      <c r="L31" s="33">
        <v>16221</v>
      </c>
      <c r="M31" s="33">
        <v>1573838</v>
      </c>
      <c r="N31" s="26">
        <f t="shared" si="4"/>
        <v>2407966</v>
      </c>
      <c r="O31" s="33">
        <v>816438</v>
      </c>
      <c r="P31" s="33">
        <v>15433</v>
      </c>
      <c r="Q31" s="33">
        <v>1556343</v>
      </c>
      <c r="R31" s="33">
        <f t="shared" si="14"/>
        <v>2388214</v>
      </c>
      <c r="S31" s="66">
        <f t="shared" si="5"/>
        <v>-1469</v>
      </c>
      <c r="T31" s="66">
        <f>P31-L31</f>
        <v>-788</v>
      </c>
      <c r="U31" s="66">
        <f>Q31-M31</f>
        <v>-17495</v>
      </c>
      <c r="V31" s="29">
        <f t="shared" si="0"/>
        <v>-19752</v>
      </c>
      <c r="W31" s="29">
        <f t="shared" si="13"/>
        <v>-11507</v>
      </c>
      <c r="X31" s="29">
        <f t="shared" si="8"/>
        <v>-6548</v>
      </c>
      <c r="Y31" s="29">
        <f t="shared" si="9"/>
        <v>-101889</v>
      </c>
      <c r="Z31" s="29">
        <f t="shared" si="1"/>
        <v>-119944</v>
      </c>
      <c r="AA31" s="119"/>
      <c r="AB31" s="309">
        <f t="shared" si="10"/>
        <v>-10.944444444444445</v>
      </c>
      <c r="AC31" s="309">
        <f>U31/I31*100</f>
        <v>-14.97859589041096</v>
      </c>
      <c r="AD31" s="310">
        <f t="shared" si="11"/>
        <v>-90.94444444444446</v>
      </c>
      <c r="AE31" s="310">
        <f>Y31/I31*100</f>
        <v>-87.23373287671234</v>
      </c>
      <c r="AF31" s="51"/>
      <c r="AG31" s="51"/>
      <c r="AH31" s="51"/>
      <c r="AI31" s="51"/>
    </row>
    <row r="32" spans="1:35" ht="24.75" customHeight="1">
      <c r="A32" s="212"/>
      <c r="B32" s="212" t="s">
        <v>11</v>
      </c>
      <c r="C32" s="286">
        <f aca="true" t="shared" si="15" ref="C32:Z32">SUM(C6:C31)</f>
        <v>22467732</v>
      </c>
      <c r="D32" s="286">
        <f t="shared" si="15"/>
        <v>4003914</v>
      </c>
      <c r="E32" s="286">
        <f t="shared" si="15"/>
        <v>94509074</v>
      </c>
      <c r="F32" s="286">
        <f t="shared" si="15"/>
        <v>120980720</v>
      </c>
      <c r="G32" s="286">
        <f t="shared" si="15"/>
        <v>106200</v>
      </c>
      <c r="H32" s="286">
        <f t="shared" si="15"/>
        <v>450000</v>
      </c>
      <c r="I32" s="286">
        <f t="shared" si="15"/>
        <v>9910500</v>
      </c>
      <c r="J32" s="286">
        <f>SUM(J6:J31)</f>
        <v>10466700</v>
      </c>
      <c r="K32" s="258">
        <f>SUM(K6:K31)</f>
        <v>20759607</v>
      </c>
      <c r="L32" s="258">
        <f>SUM(L6:L31)</f>
        <v>2779760</v>
      </c>
      <c r="M32" s="258">
        <f>SUM(M6:M31)</f>
        <v>97461133</v>
      </c>
      <c r="N32" s="286">
        <f t="shared" si="15"/>
        <v>121000500</v>
      </c>
      <c r="O32" s="258">
        <f t="shared" si="15"/>
        <v>20591104</v>
      </c>
      <c r="P32" s="258">
        <f t="shared" si="15"/>
        <v>2721162</v>
      </c>
      <c r="Q32" s="258">
        <f>SUM(Q6:Q31)</f>
        <v>97949405</v>
      </c>
      <c r="R32" s="258">
        <f t="shared" si="15"/>
        <v>121261671</v>
      </c>
      <c r="S32" s="286">
        <f t="shared" si="15"/>
        <v>-168503</v>
      </c>
      <c r="T32" s="327">
        <f>SUM(T6:T31)</f>
        <v>-58598</v>
      </c>
      <c r="U32" s="286">
        <f t="shared" si="15"/>
        <v>488272</v>
      </c>
      <c r="V32" s="286">
        <f t="shared" si="15"/>
        <v>261171</v>
      </c>
      <c r="W32" s="286">
        <f t="shared" si="15"/>
        <v>-1876628</v>
      </c>
      <c r="X32" s="286">
        <f t="shared" si="15"/>
        <v>-1282752</v>
      </c>
      <c r="Y32" s="286">
        <f t="shared" si="15"/>
        <v>3440331</v>
      </c>
      <c r="Z32" s="286">
        <f t="shared" si="15"/>
        <v>280951</v>
      </c>
      <c r="AA32" s="119"/>
      <c r="AB32" s="309">
        <f t="shared" si="10"/>
        <v>-13.021777777777777</v>
      </c>
      <c r="AC32" s="309">
        <f>U32/I32*100</f>
        <v>4.926814994198073</v>
      </c>
      <c r="AD32" s="310">
        <f t="shared" si="11"/>
        <v>-285.05600000000004</v>
      </c>
      <c r="AE32" s="310">
        <f>Y32/I32*100</f>
        <v>34.714000302709245</v>
      </c>
      <c r="AF32" s="51"/>
      <c r="AG32" s="51"/>
      <c r="AH32" s="51"/>
      <c r="AI32" s="51"/>
    </row>
    <row r="33" spans="1:35" s="464" customFormat="1" ht="33" customHeight="1">
      <c r="A33" s="471" t="s">
        <v>148</v>
      </c>
      <c r="B33" s="471"/>
      <c r="C33" s="285">
        <f>C32/1000000</f>
        <v>22.467732</v>
      </c>
      <c r="D33" s="285">
        <f aca="true" t="shared" si="16" ref="D33:Z33">D32/1000000</f>
        <v>4.003914</v>
      </c>
      <c r="E33" s="285">
        <f t="shared" si="16"/>
        <v>94.509074</v>
      </c>
      <c r="F33" s="285">
        <f t="shared" si="16"/>
        <v>120.98072</v>
      </c>
      <c r="G33" s="285">
        <f t="shared" si="16"/>
        <v>0.1062</v>
      </c>
      <c r="H33" s="285">
        <f t="shared" si="16"/>
        <v>0.45</v>
      </c>
      <c r="I33" s="285">
        <f>I32/1000000</f>
        <v>9.9105</v>
      </c>
      <c r="J33" s="285">
        <f>J32/1000000</f>
        <v>10.4667</v>
      </c>
      <c r="K33" s="285">
        <f t="shared" si="16"/>
        <v>20.759607</v>
      </c>
      <c r="L33" s="285">
        <f t="shared" si="16"/>
        <v>2.77976</v>
      </c>
      <c r="M33" s="285">
        <f t="shared" si="16"/>
        <v>97.461133</v>
      </c>
      <c r="N33" s="285">
        <f t="shared" si="16"/>
        <v>121.0005</v>
      </c>
      <c r="O33" s="285">
        <f t="shared" si="16"/>
        <v>20.591104</v>
      </c>
      <c r="P33" s="285">
        <f t="shared" si="16"/>
        <v>2.721162</v>
      </c>
      <c r="Q33" s="285">
        <f>Q32/1000000</f>
        <v>97.949405</v>
      </c>
      <c r="R33" s="285">
        <f t="shared" si="16"/>
        <v>121.261671</v>
      </c>
      <c r="S33" s="285">
        <f t="shared" si="16"/>
        <v>-0.16850300000000001</v>
      </c>
      <c r="T33" s="463">
        <f t="shared" si="16"/>
        <v>-0.058598</v>
      </c>
      <c r="U33" s="285">
        <f t="shared" si="16"/>
        <v>0.488272</v>
      </c>
      <c r="V33" s="285">
        <f t="shared" si="16"/>
        <v>0.261171</v>
      </c>
      <c r="W33" s="285">
        <f t="shared" si="16"/>
        <v>-1.876628</v>
      </c>
      <c r="X33" s="285">
        <f t="shared" si="16"/>
        <v>-1.282752</v>
      </c>
      <c r="Y33" s="285">
        <f t="shared" si="16"/>
        <v>3.440331</v>
      </c>
      <c r="Z33" s="285">
        <f t="shared" si="16"/>
        <v>0.280951</v>
      </c>
      <c r="AA33" s="51"/>
      <c r="AB33" s="199"/>
      <c r="AC33" s="199"/>
      <c r="AD33" s="199"/>
      <c r="AE33" s="199"/>
      <c r="AF33" s="199"/>
      <c r="AG33" s="199"/>
      <c r="AH33" s="199"/>
      <c r="AI33" s="199"/>
    </row>
    <row r="34" spans="1:27" ht="13.5" customHeight="1">
      <c r="A34" s="55"/>
      <c r="B34" s="41" t="s">
        <v>73</v>
      </c>
      <c r="G34" s="41" t="s">
        <v>60</v>
      </c>
      <c r="H34" s="55"/>
      <c r="I34" s="55"/>
      <c r="J34" s="55"/>
      <c r="K34" s="55"/>
      <c r="L34" s="55"/>
      <c r="M34" s="55"/>
      <c r="N34" s="55"/>
      <c r="O34" s="200"/>
      <c r="S34" s="55"/>
      <c r="T34" s="201"/>
      <c r="U34" s="55"/>
      <c r="V34" s="55"/>
      <c r="W34" s="55"/>
      <c r="X34" s="201"/>
      <c r="Y34" s="55"/>
      <c r="Z34" s="55"/>
      <c r="AA34" s="199"/>
    </row>
    <row r="35" spans="1:26" ht="9" customHeight="1">
      <c r="A35" s="55"/>
      <c r="B35" s="55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S35" s="202"/>
      <c r="T35" s="41"/>
      <c r="U35" s="41"/>
      <c r="V35" s="203"/>
      <c r="W35" s="204"/>
      <c r="X35" s="55"/>
      <c r="Y35" s="55"/>
      <c r="Z35" s="205"/>
    </row>
    <row r="36" spans="1:26" ht="18" customHeight="1">
      <c r="A36" s="55"/>
      <c r="B36" s="202" t="s">
        <v>30</v>
      </c>
      <c r="C36" s="55"/>
      <c r="D36" s="55"/>
      <c r="E36" s="55"/>
      <c r="F36" s="55"/>
      <c r="G36" s="55"/>
      <c r="H36" s="55"/>
      <c r="I36" s="201"/>
      <c r="J36" s="201"/>
      <c r="K36" s="55"/>
      <c r="L36" s="55"/>
      <c r="M36" s="55"/>
      <c r="N36" s="55"/>
      <c r="Q36" s="368"/>
      <c r="S36" s="250"/>
      <c r="T36" s="250"/>
      <c r="U36" s="250"/>
      <c r="V36" s="204"/>
      <c r="W36" s="53"/>
      <c r="Y36" s="201"/>
      <c r="Z36" s="205"/>
    </row>
    <row r="37" spans="1:26" ht="18" customHeight="1">
      <c r="A37" s="55"/>
      <c r="B37" s="202" t="s">
        <v>15</v>
      </c>
      <c r="C37" s="196"/>
      <c r="D37" s="196"/>
      <c r="E37" s="196"/>
      <c r="F37" s="385"/>
      <c r="G37" s="41"/>
      <c r="H37" s="41"/>
      <c r="I37" s="41"/>
      <c r="J37" s="41"/>
      <c r="K37" s="41"/>
      <c r="L37" s="41"/>
      <c r="M37" s="41"/>
      <c r="N37" s="41"/>
      <c r="O37" s="197"/>
      <c r="Q37" s="206"/>
      <c r="R37" s="209"/>
      <c r="S37" s="417"/>
      <c r="T37" s="251"/>
      <c r="U37" s="328"/>
      <c r="V37" s="196"/>
      <c r="W37" s="36"/>
      <c r="X37" s="36"/>
      <c r="Y37" s="413"/>
      <c r="Z37" s="36"/>
    </row>
    <row r="38" spans="1:26" ht="18" customHeight="1">
      <c r="A38" s="55"/>
      <c r="B38" s="207" t="s">
        <v>58</v>
      </c>
      <c r="C38" s="41"/>
      <c r="D38" s="41"/>
      <c r="E38" s="41"/>
      <c r="F38" s="41"/>
      <c r="G38" s="196"/>
      <c r="H38" s="196"/>
      <c r="I38" s="196"/>
      <c r="J38" s="196"/>
      <c r="K38" s="196"/>
      <c r="L38" s="196"/>
      <c r="M38" s="196"/>
      <c r="N38" s="196"/>
      <c r="O38" s="197">
        <f>281245+3501</f>
        <v>284746</v>
      </c>
      <c r="P38" s="208"/>
      <c r="Q38" s="350"/>
      <c r="R38" s="209"/>
      <c r="T38" s="196"/>
      <c r="U38" s="196"/>
      <c r="V38" s="196"/>
      <c r="W38" s="36"/>
      <c r="X38" s="36"/>
      <c r="Y38" s="36"/>
      <c r="Z38" s="36"/>
    </row>
    <row r="39" spans="1:26" ht="18" customHeight="1">
      <c r="A39" s="55"/>
      <c r="B39" s="207" t="s">
        <v>59</v>
      </c>
      <c r="C39" s="196"/>
      <c r="D39" s="196"/>
      <c r="E39" s="196"/>
      <c r="F39" s="304"/>
      <c r="G39" s="196"/>
      <c r="H39" s="196"/>
      <c r="I39" s="196"/>
      <c r="J39" s="196"/>
      <c r="K39" s="196"/>
      <c r="L39" s="196"/>
      <c r="M39" s="196"/>
      <c r="N39" s="196"/>
      <c r="O39" s="236">
        <f>O38-2295</f>
        <v>282451</v>
      </c>
      <c r="P39" s="236"/>
      <c r="Q39" s="209"/>
      <c r="R39" s="209"/>
      <c r="S39" s="196"/>
      <c r="T39" s="196"/>
      <c r="U39" s="196"/>
      <c r="V39" s="196"/>
      <c r="W39" s="53"/>
      <c r="X39" s="53"/>
      <c r="Y39" s="431"/>
      <c r="Z39" s="431"/>
    </row>
    <row r="40" spans="1:26" ht="18" customHeight="1">
      <c r="A40" s="55"/>
      <c r="B40" s="202" t="s">
        <v>80</v>
      </c>
      <c r="C40" s="196"/>
      <c r="D40" s="196"/>
      <c r="E40" s="196"/>
      <c r="F40" s="134"/>
      <c r="H40" s="51"/>
      <c r="O40" s="208"/>
      <c r="P40" s="208"/>
      <c r="Q40" s="209"/>
      <c r="R40" s="209"/>
      <c r="W40" s="36"/>
      <c r="X40" s="55"/>
      <c r="Y40" s="36"/>
      <c r="Z40" s="442"/>
    </row>
    <row r="41" spans="1:26" ht="18" customHeight="1">
      <c r="A41" s="55"/>
      <c r="B41" s="55"/>
      <c r="F41" s="302"/>
      <c r="P41" s="211"/>
      <c r="Q41" s="209"/>
      <c r="R41" s="209"/>
      <c r="W41" s="52"/>
      <c r="Y41" s="53"/>
      <c r="Z41" s="205"/>
    </row>
    <row r="42" spans="1:26" ht="18" customHeight="1">
      <c r="A42" s="55"/>
      <c r="B42" s="55"/>
      <c r="Q42" s="209"/>
      <c r="R42" s="368"/>
      <c r="W42" s="54"/>
      <c r="X42" s="50"/>
      <c r="Y42" s="54"/>
      <c r="Z42" s="205"/>
    </row>
    <row r="43" spans="1:26" ht="18" customHeight="1">
      <c r="A43" s="55"/>
      <c r="B43" s="202" t="s">
        <v>42</v>
      </c>
      <c r="F43" s="302"/>
      <c r="Q43" s="368"/>
      <c r="R43" s="416"/>
      <c r="W43" s="36"/>
      <c r="X43" s="55"/>
      <c r="Y43" s="36"/>
      <c r="Z43" s="205"/>
    </row>
    <row r="44" spans="1:26" ht="48.75" customHeight="1">
      <c r="A44" s="55"/>
      <c r="B44" s="212" t="s">
        <v>41</v>
      </c>
      <c r="C44" s="477" t="s">
        <v>43</v>
      </c>
      <c r="D44" s="477"/>
      <c r="E44" s="477"/>
      <c r="F44" s="477"/>
      <c r="G44" s="477"/>
      <c r="H44" s="213"/>
      <c r="I44" s="213"/>
      <c r="J44" s="213"/>
      <c r="K44" s="212" t="s">
        <v>41</v>
      </c>
      <c r="L44" s="212"/>
      <c r="M44" s="212"/>
      <c r="N44" s="212"/>
      <c r="O44" s="213" t="s">
        <v>63</v>
      </c>
      <c r="P44" s="214"/>
      <c r="Q44" s="213"/>
      <c r="R44" s="216"/>
      <c r="S44" s="477" t="s">
        <v>44</v>
      </c>
      <c r="T44" s="477"/>
      <c r="U44" s="212" t="s">
        <v>41</v>
      </c>
      <c r="X44" s="53"/>
      <c r="Y44" s="36"/>
      <c r="Z44" s="215"/>
    </row>
    <row r="45" spans="1:26" ht="32.25" customHeight="1">
      <c r="A45" s="55"/>
      <c r="B45" s="212"/>
      <c r="C45" s="213" t="s">
        <v>14</v>
      </c>
      <c r="D45" s="213"/>
      <c r="E45" s="213"/>
      <c r="F45" s="213"/>
      <c r="G45" s="213" t="s">
        <v>57</v>
      </c>
      <c r="H45" s="213"/>
      <c r="I45" s="213"/>
      <c r="J45" s="213"/>
      <c r="K45" s="212"/>
      <c r="L45" s="212"/>
      <c r="M45" s="212"/>
      <c r="N45" s="212"/>
      <c r="O45" s="216"/>
      <c r="P45" s="216"/>
      <c r="Q45" s="216"/>
      <c r="R45" s="219"/>
      <c r="S45" s="213" t="s">
        <v>14</v>
      </c>
      <c r="T45" s="213" t="s">
        <v>57</v>
      </c>
      <c r="U45" s="212"/>
      <c r="X45" s="36"/>
      <c r="Y45" s="53"/>
      <c r="Z45" s="217"/>
    </row>
    <row r="46" spans="1:26" ht="18" customHeight="1">
      <c r="A46" s="55"/>
      <c r="B46" s="212" t="s">
        <v>45</v>
      </c>
      <c r="C46" s="218">
        <v>0.03</v>
      </c>
      <c r="D46" s="218"/>
      <c r="E46" s="218"/>
      <c r="F46" s="218"/>
      <c r="G46" s="218">
        <f>C46</f>
        <v>0.03</v>
      </c>
      <c r="H46" s="218"/>
      <c r="I46" s="218"/>
      <c r="J46" s="218"/>
      <c r="K46" s="212" t="s">
        <v>45</v>
      </c>
      <c r="L46" s="212"/>
      <c r="M46" s="212"/>
      <c r="N46" s="212"/>
      <c r="O46" s="216">
        <v>1</v>
      </c>
      <c r="P46" s="219"/>
      <c r="Q46" s="219"/>
      <c r="R46" s="216"/>
      <c r="S46" s="220">
        <f aca="true" t="shared" si="17" ref="S46:S57">1/12</f>
        <v>0.08333333333333333</v>
      </c>
      <c r="T46" s="218">
        <f>S46</f>
        <v>0.08333333333333333</v>
      </c>
      <c r="U46" s="212" t="s">
        <v>45</v>
      </c>
      <c r="X46" s="36"/>
      <c r="Y46" s="36"/>
      <c r="Z46" s="205"/>
    </row>
    <row r="47" spans="1:26" ht="19.5" customHeight="1">
      <c r="A47" s="55"/>
      <c r="B47" s="212" t="s">
        <v>46</v>
      </c>
      <c r="C47" s="221">
        <v>0.03</v>
      </c>
      <c r="D47" s="221"/>
      <c r="E47" s="221"/>
      <c r="F47" s="221"/>
      <c r="G47" s="221">
        <f aca="true" t="shared" si="18" ref="G47:G57">G46+C47</f>
        <v>0.06</v>
      </c>
      <c r="H47" s="221"/>
      <c r="I47" s="221"/>
      <c r="J47" s="221"/>
      <c r="K47" s="212" t="s">
        <v>46</v>
      </c>
      <c r="L47" s="212"/>
      <c r="M47" s="212"/>
      <c r="N47" s="212"/>
      <c r="O47" s="216">
        <v>2</v>
      </c>
      <c r="P47" s="216"/>
      <c r="Q47" s="216"/>
      <c r="R47" s="216"/>
      <c r="S47" s="218">
        <f t="shared" si="17"/>
        <v>0.08333333333333333</v>
      </c>
      <c r="T47" s="221">
        <f aca="true" t="shared" si="19" ref="T47:T57">T46+S47</f>
        <v>0.16666666666666666</v>
      </c>
      <c r="U47" s="212" t="s">
        <v>46</v>
      </c>
      <c r="X47" s="36"/>
      <c r="Y47" s="65"/>
      <c r="Z47" s="210"/>
    </row>
    <row r="48" spans="1:26" ht="14.25">
      <c r="A48" s="55"/>
      <c r="B48" s="212" t="s">
        <v>47</v>
      </c>
      <c r="C48" s="221">
        <v>0.04</v>
      </c>
      <c r="D48" s="221"/>
      <c r="E48" s="221"/>
      <c r="F48" s="221"/>
      <c r="G48" s="221">
        <f t="shared" si="18"/>
        <v>0.1</v>
      </c>
      <c r="H48" s="221"/>
      <c r="I48" s="221"/>
      <c r="J48" s="221"/>
      <c r="K48" s="212" t="s">
        <v>47</v>
      </c>
      <c r="L48" s="212"/>
      <c r="M48" s="212"/>
      <c r="N48" s="212"/>
      <c r="O48" s="216">
        <v>3</v>
      </c>
      <c r="P48" s="216"/>
      <c r="Q48" s="216"/>
      <c r="R48" s="216"/>
      <c r="S48" s="218">
        <f t="shared" si="17"/>
        <v>0.08333333333333333</v>
      </c>
      <c r="T48" s="221">
        <f t="shared" si="19"/>
        <v>0.25</v>
      </c>
      <c r="U48" s="212" t="s">
        <v>47</v>
      </c>
      <c r="X48" s="53"/>
      <c r="Y48" s="53"/>
      <c r="Z48" s="210"/>
    </row>
    <row r="49" spans="1:26" ht="15">
      <c r="A49" s="55"/>
      <c r="B49" s="20" t="s">
        <v>48</v>
      </c>
      <c r="C49" s="222">
        <v>0.05</v>
      </c>
      <c r="D49" s="222"/>
      <c r="E49" s="222"/>
      <c r="F49" s="222"/>
      <c r="G49" s="221">
        <f t="shared" si="18"/>
        <v>0.15000000000000002</v>
      </c>
      <c r="H49" s="221"/>
      <c r="I49" s="221"/>
      <c r="J49" s="221"/>
      <c r="K49" s="20" t="s">
        <v>48</v>
      </c>
      <c r="L49" s="20"/>
      <c r="M49" s="20"/>
      <c r="N49" s="20"/>
      <c r="O49" s="216">
        <v>4</v>
      </c>
      <c r="P49" s="216"/>
      <c r="Q49" s="216"/>
      <c r="R49" s="216"/>
      <c r="S49" s="218">
        <f t="shared" si="17"/>
        <v>0.08333333333333333</v>
      </c>
      <c r="T49" s="221">
        <f t="shared" si="19"/>
        <v>0.3333333333333333</v>
      </c>
      <c r="U49" s="20" t="s">
        <v>48</v>
      </c>
      <c r="X49" s="52"/>
      <c r="Y49" s="53"/>
      <c r="Z49" s="217"/>
    </row>
    <row r="50" spans="1:26" ht="15">
      <c r="A50" s="55"/>
      <c r="B50" s="20" t="s">
        <v>49</v>
      </c>
      <c r="C50" s="222">
        <v>0.07</v>
      </c>
      <c r="D50" s="222"/>
      <c r="E50" s="222"/>
      <c r="F50" s="222"/>
      <c r="G50" s="221">
        <f t="shared" si="18"/>
        <v>0.22000000000000003</v>
      </c>
      <c r="H50" s="221"/>
      <c r="I50" s="221"/>
      <c r="J50" s="221"/>
      <c r="K50" s="20" t="s">
        <v>49</v>
      </c>
      <c r="L50" s="20"/>
      <c r="M50" s="20"/>
      <c r="N50" s="20"/>
      <c r="O50" s="216">
        <v>5</v>
      </c>
      <c r="P50" s="216"/>
      <c r="Q50" s="216"/>
      <c r="R50" s="216"/>
      <c r="S50" s="218">
        <f t="shared" si="17"/>
        <v>0.08333333333333333</v>
      </c>
      <c r="T50" s="221">
        <f t="shared" si="19"/>
        <v>0.41666666666666663</v>
      </c>
      <c r="U50" s="20" t="s">
        <v>49</v>
      </c>
      <c r="X50" s="36"/>
      <c r="Y50" s="53"/>
      <c r="Z50" s="205"/>
    </row>
    <row r="51" spans="1:26" ht="15">
      <c r="A51" s="39"/>
      <c r="B51" s="20" t="s">
        <v>50</v>
      </c>
      <c r="C51" s="222">
        <v>0.08</v>
      </c>
      <c r="D51" s="222"/>
      <c r="E51" s="222"/>
      <c r="F51" s="222"/>
      <c r="G51" s="221">
        <f t="shared" si="18"/>
        <v>0.30000000000000004</v>
      </c>
      <c r="H51" s="221"/>
      <c r="I51" s="221"/>
      <c r="J51" s="221"/>
      <c r="K51" s="20" t="s">
        <v>50</v>
      </c>
      <c r="L51" s="20"/>
      <c r="M51" s="20"/>
      <c r="N51" s="20"/>
      <c r="O51" s="216">
        <v>6</v>
      </c>
      <c r="P51" s="216"/>
      <c r="Q51" s="216"/>
      <c r="R51" s="216"/>
      <c r="S51" s="218">
        <f t="shared" si="17"/>
        <v>0.08333333333333333</v>
      </c>
      <c r="T51" s="221">
        <f t="shared" si="19"/>
        <v>0.49999999999999994</v>
      </c>
      <c r="U51" s="20" t="s">
        <v>50</v>
      </c>
      <c r="X51" s="53"/>
      <c r="Y51" s="54"/>
      <c r="Z51" s="210"/>
    </row>
    <row r="52" spans="2:26" ht="15" customHeight="1">
      <c r="B52" s="216" t="s">
        <v>51</v>
      </c>
      <c r="C52" s="218">
        <v>0.09</v>
      </c>
      <c r="D52" s="218"/>
      <c r="E52" s="218"/>
      <c r="F52" s="218"/>
      <c r="G52" s="221">
        <f t="shared" si="18"/>
        <v>0.39</v>
      </c>
      <c r="H52" s="221"/>
      <c r="I52" s="221"/>
      <c r="J52" s="221"/>
      <c r="K52" s="216" t="s">
        <v>51</v>
      </c>
      <c r="L52" s="216"/>
      <c r="M52" s="216"/>
      <c r="N52" s="216"/>
      <c r="O52" s="216">
        <v>7</v>
      </c>
      <c r="P52" s="216"/>
      <c r="Q52" s="216"/>
      <c r="R52" s="216"/>
      <c r="S52" s="218">
        <f t="shared" si="17"/>
        <v>0.08333333333333333</v>
      </c>
      <c r="T52" s="221">
        <f t="shared" si="19"/>
        <v>0.5833333333333333</v>
      </c>
      <c r="U52" s="216" t="s">
        <v>51</v>
      </c>
      <c r="X52" s="36"/>
      <c r="Y52" s="54"/>
      <c r="Z52" s="210"/>
    </row>
    <row r="53" spans="2:26" ht="15" customHeight="1">
      <c r="B53" s="216" t="s">
        <v>52</v>
      </c>
      <c r="C53" s="218">
        <v>0.1</v>
      </c>
      <c r="D53" s="218"/>
      <c r="E53" s="218"/>
      <c r="F53" s="218"/>
      <c r="G53" s="221">
        <f t="shared" si="18"/>
        <v>0.49</v>
      </c>
      <c r="H53" s="221"/>
      <c r="I53" s="221"/>
      <c r="J53" s="221"/>
      <c r="K53" s="216" t="s">
        <v>52</v>
      </c>
      <c r="L53" s="216"/>
      <c r="M53" s="216"/>
      <c r="N53" s="216"/>
      <c r="O53" s="216">
        <v>8</v>
      </c>
      <c r="P53" s="216"/>
      <c r="Q53" s="216"/>
      <c r="R53" s="216"/>
      <c r="S53" s="218">
        <f t="shared" si="17"/>
        <v>0.08333333333333333</v>
      </c>
      <c r="T53" s="221">
        <f t="shared" si="19"/>
        <v>0.6666666666666666</v>
      </c>
      <c r="U53" s="216" t="s">
        <v>52</v>
      </c>
      <c r="X53" s="54"/>
      <c r="Y53" s="53"/>
      <c r="Z53" s="223"/>
    </row>
    <row r="54" spans="2:26" ht="15" customHeight="1">
      <c r="B54" s="216" t="s">
        <v>53</v>
      </c>
      <c r="C54" s="218">
        <v>0.11</v>
      </c>
      <c r="D54" s="218"/>
      <c r="E54" s="218"/>
      <c r="F54" s="218"/>
      <c r="G54" s="221">
        <f t="shared" si="18"/>
        <v>0.6</v>
      </c>
      <c r="H54" s="221"/>
      <c r="I54" s="221"/>
      <c r="J54" s="221"/>
      <c r="K54" s="216" t="s">
        <v>53</v>
      </c>
      <c r="L54" s="216"/>
      <c r="M54" s="216"/>
      <c r="N54" s="216"/>
      <c r="O54" s="216">
        <v>9</v>
      </c>
      <c r="P54" s="216"/>
      <c r="Q54" s="216"/>
      <c r="R54" s="216"/>
      <c r="S54" s="218">
        <f t="shared" si="17"/>
        <v>0.08333333333333333</v>
      </c>
      <c r="T54" s="221">
        <f t="shared" si="19"/>
        <v>0.75</v>
      </c>
      <c r="U54" s="216" t="s">
        <v>53</v>
      </c>
      <c r="X54" s="53"/>
      <c r="Y54" s="53"/>
      <c r="Z54" s="205"/>
    </row>
    <row r="55" spans="2:26" ht="15" customHeight="1">
      <c r="B55" s="216" t="s">
        <v>54</v>
      </c>
      <c r="C55" s="218">
        <v>0.12</v>
      </c>
      <c r="D55" s="218"/>
      <c r="E55" s="218"/>
      <c r="F55" s="218"/>
      <c r="G55" s="221">
        <f t="shared" si="18"/>
        <v>0.72</v>
      </c>
      <c r="H55" s="221"/>
      <c r="I55" s="221"/>
      <c r="J55" s="221"/>
      <c r="K55" s="216" t="s">
        <v>54</v>
      </c>
      <c r="L55" s="216"/>
      <c r="M55" s="216"/>
      <c r="N55" s="216"/>
      <c r="O55" s="216">
        <v>10</v>
      </c>
      <c r="P55" s="216"/>
      <c r="Q55" s="216"/>
      <c r="R55" s="216"/>
      <c r="S55" s="218">
        <f t="shared" si="17"/>
        <v>0.08333333333333333</v>
      </c>
      <c r="T55" s="221">
        <f t="shared" si="19"/>
        <v>0.8333333333333334</v>
      </c>
      <c r="U55" s="216" t="s">
        <v>54</v>
      </c>
      <c r="X55" s="52"/>
      <c r="Y55" s="53"/>
      <c r="Z55" s="205"/>
    </row>
    <row r="56" spans="2:26" ht="15" customHeight="1">
      <c r="B56" s="216" t="s">
        <v>55</v>
      </c>
      <c r="C56" s="218">
        <v>0.13</v>
      </c>
      <c r="D56" s="218"/>
      <c r="E56" s="218"/>
      <c r="F56" s="218"/>
      <c r="G56" s="221">
        <f t="shared" si="18"/>
        <v>0.85</v>
      </c>
      <c r="H56" s="221"/>
      <c r="I56" s="221"/>
      <c r="J56" s="221"/>
      <c r="K56" s="216" t="s">
        <v>55</v>
      </c>
      <c r="L56" s="216"/>
      <c r="M56" s="216"/>
      <c r="N56" s="216"/>
      <c r="O56" s="216">
        <v>11</v>
      </c>
      <c r="P56" s="216"/>
      <c r="Q56" s="216"/>
      <c r="R56" s="216"/>
      <c r="S56" s="218">
        <f t="shared" si="17"/>
        <v>0.08333333333333333</v>
      </c>
      <c r="T56" s="221">
        <f t="shared" si="19"/>
        <v>0.9166666666666667</v>
      </c>
      <c r="U56" s="216" t="s">
        <v>55</v>
      </c>
      <c r="X56" s="36"/>
      <c r="Y56" s="54"/>
      <c r="Z56" s="215"/>
    </row>
    <row r="57" spans="2:26" ht="15">
      <c r="B57" s="224" t="s">
        <v>56</v>
      </c>
      <c r="C57" s="225">
        <v>0.15</v>
      </c>
      <c r="D57" s="225"/>
      <c r="E57" s="225"/>
      <c r="F57" s="225"/>
      <c r="G57" s="221">
        <f t="shared" si="18"/>
        <v>1</v>
      </c>
      <c r="H57" s="221"/>
      <c r="I57" s="221"/>
      <c r="J57" s="221"/>
      <c r="K57" s="224" t="s">
        <v>56</v>
      </c>
      <c r="L57" s="224"/>
      <c r="M57" s="224"/>
      <c r="N57" s="224"/>
      <c r="O57" s="216">
        <v>12</v>
      </c>
      <c r="P57" s="216"/>
      <c r="Q57" s="216"/>
      <c r="R57" s="224"/>
      <c r="S57" s="218">
        <f t="shared" si="17"/>
        <v>0.08333333333333333</v>
      </c>
      <c r="T57" s="221">
        <f t="shared" si="19"/>
        <v>1</v>
      </c>
      <c r="U57" s="224" t="s">
        <v>56</v>
      </c>
      <c r="X57" s="53"/>
      <c r="Y57" s="36"/>
      <c r="Z57" s="205"/>
    </row>
    <row r="58" spans="2:26" ht="15">
      <c r="B58" s="224"/>
      <c r="C58" s="226">
        <f>SUM(C46:C57)</f>
        <v>1</v>
      </c>
      <c r="D58" s="227"/>
      <c r="E58" s="227"/>
      <c r="F58" s="227"/>
      <c r="O58" s="224"/>
      <c r="P58" s="224"/>
      <c r="Q58" s="224"/>
      <c r="S58" s="226">
        <f>SUM(S46:S57)</f>
        <v>1</v>
      </c>
      <c r="T58" s="199"/>
      <c r="U58" s="224"/>
      <c r="X58" s="53"/>
      <c r="Y58" s="54"/>
      <c r="Z58" s="205"/>
    </row>
    <row r="59" spans="2:26" ht="15">
      <c r="B59" s="199"/>
      <c r="C59" s="199"/>
      <c r="D59" s="199"/>
      <c r="E59" s="199"/>
      <c r="F59" s="199"/>
      <c r="G59" s="199"/>
      <c r="H59" s="199"/>
      <c r="I59" s="199"/>
      <c r="J59" s="199"/>
      <c r="K59" s="228"/>
      <c r="L59" s="228"/>
      <c r="M59" s="228"/>
      <c r="N59" s="228"/>
      <c r="S59" s="228"/>
      <c r="T59" s="199"/>
      <c r="U59" s="51"/>
      <c r="V59" s="36"/>
      <c r="W59" s="36"/>
      <c r="X59" s="53"/>
      <c r="Y59" s="36"/>
      <c r="Z59" s="205"/>
    </row>
    <row r="60" spans="2:26" ht="15">
      <c r="B60" s="199"/>
      <c r="C60" s="199"/>
      <c r="D60" s="199"/>
      <c r="E60" s="199"/>
      <c r="F60" s="199"/>
      <c r="G60" s="199"/>
      <c r="H60" s="199"/>
      <c r="I60" s="199"/>
      <c r="J60" s="199"/>
      <c r="K60" s="51"/>
      <c r="L60" s="51"/>
      <c r="M60" s="51"/>
      <c r="N60" s="51"/>
      <c r="S60" s="36"/>
      <c r="T60" s="51"/>
      <c r="U60" s="51"/>
      <c r="V60" s="36"/>
      <c r="W60" s="52"/>
      <c r="X60" s="36"/>
      <c r="Y60" s="54"/>
      <c r="Z60" s="205"/>
    </row>
    <row r="61" spans="2:26" ht="15">
      <c r="B61" s="199"/>
      <c r="C61" s="199"/>
      <c r="D61" s="199"/>
      <c r="E61" s="199"/>
      <c r="F61" s="199"/>
      <c r="G61" s="199"/>
      <c r="H61" s="199"/>
      <c r="I61" s="199"/>
      <c r="J61" s="199"/>
      <c r="K61" s="229"/>
      <c r="L61" s="229"/>
      <c r="M61" s="229"/>
      <c r="N61" s="229"/>
      <c r="S61" s="229"/>
      <c r="T61" s="229"/>
      <c r="U61" s="229"/>
      <c r="V61" s="53"/>
      <c r="W61" s="52"/>
      <c r="X61" s="36"/>
      <c r="Y61" s="36"/>
      <c r="Z61" s="229"/>
    </row>
    <row r="62" spans="2:26" ht="15">
      <c r="B62" s="199"/>
      <c r="C62" s="199"/>
      <c r="D62" s="199"/>
      <c r="E62" s="199"/>
      <c r="F62" s="199"/>
      <c r="G62" s="199"/>
      <c r="H62" s="199"/>
      <c r="I62" s="199"/>
      <c r="J62" s="199"/>
      <c r="K62" s="51"/>
      <c r="L62" s="51"/>
      <c r="M62" s="51"/>
      <c r="N62" s="51"/>
      <c r="S62" s="36"/>
      <c r="T62" s="51"/>
      <c r="U62" s="51"/>
      <c r="V62" s="54"/>
      <c r="X62" s="36"/>
      <c r="Y62" s="53"/>
      <c r="Z62" s="51"/>
    </row>
    <row r="63" spans="2:26" ht="15">
      <c r="B63" s="199"/>
      <c r="C63" s="199"/>
      <c r="D63" s="199"/>
      <c r="E63" s="199"/>
      <c r="F63" s="199"/>
      <c r="G63" s="199"/>
      <c r="H63" s="199"/>
      <c r="I63" s="199"/>
      <c r="J63" s="199"/>
      <c r="K63" s="229"/>
      <c r="L63" s="229"/>
      <c r="M63" s="229"/>
      <c r="N63" s="229"/>
      <c r="S63" s="229"/>
      <c r="T63" s="229"/>
      <c r="U63" s="229"/>
      <c r="V63" s="54"/>
      <c r="W63" s="229"/>
      <c r="X63" s="36"/>
      <c r="Y63" s="62"/>
      <c r="Z63" s="229"/>
    </row>
    <row r="64" spans="22:25" ht="14.25">
      <c r="V64" s="54"/>
      <c r="X64" s="36"/>
      <c r="Y64" s="62"/>
    </row>
    <row r="65" spans="18:25" ht="14.25">
      <c r="R65" s="50"/>
      <c r="V65" s="52"/>
      <c r="X65" s="36"/>
      <c r="Y65" s="63"/>
    </row>
    <row r="66" spans="4:24" ht="14.25">
      <c r="D66" s="50">
        <v>4313</v>
      </c>
      <c r="N66" s="195"/>
      <c r="R66" s="50"/>
      <c r="U66" s="52"/>
      <c r="V66" s="51"/>
      <c r="W66" s="36"/>
      <c r="X66" s="63"/>
    </row>
    <row r="67" spans="4:24" ht="14.25">
      <c r="D67" s="302">
        <f>D24-D66</f>
        <v>202848</v>
      </c>
      <c r="N67" s="195"/>
      <c r="U67" s="54"/>
      <c r="V67" s="51"/>
      <c r="W67" s="36"/>
      <c r="X67" s="63"/>
    </row>
    <row r="68" spans="22:25" ht="14.25">
      <c r="V68" s="54"/>
      <c r="X68" s="36"/>
      <c r="Y68" s="62"/>
    </row>
    <row r="69" spans="22:25" ht="14.25">
      <c r="V69" s="54"/>
      <c r="X69" s="53"/>
      <c r="Y69" s="62"/>
    </row>
    <row r="74" spans="23:24" ht="14.25">
      <c r="W74" s="50"/>
      <c r="X74" s="50"/>
    </row>
    <row r="76" spans="21:24" ht="14.25">
      <c r="U76" s="230"/>
      <c r="V76" s="230"/>
      <c r="W76" s="230"/>
      <c r="X76" s="230"/>
    </row>
    <row r="79" ht="14.25">
      <c r="V79" s="230"/>
    </row>
    <row r="103" ht="14.25">
      <c r="U103" s="50" t="s">
        <v>102</v>
      </c>
    </row>
    <row r="204" ht="14.25">
      <c r="U204" s="50" t="s">
        <v>103</v>
      </c>
    </row>
    <row r="212" ht="14.25">
      <c r="U212" s="235" t="s">
        <v>104</v>
      </c>
    </row>
  </sheetData>
  <sheetProtection/>
  <mergeCells count="30">
    <mergeCell ref="S44:T44"/>
    <mergeCell ref="C4:C5"/>
    <mergeCell ref="D4:D5"/>
    <mergeCell ref="E4:E5"/>
    <mergeCell ref="S4:V4"/>
    <mergeCell ref="M4:M5"/>
    <mergeCell ref="O4:O5"/>
    <mergeCell ref="P4:P5"/>
    <mergeCell ref="Q4:Q5"/>
    <mergeCell ref="C44:G44"/>
    <mergeCell ref="A3:A5"/>
    <mergeCell ref="B3:B5"/>
    <mergeCell ref="C3:F3"/>
    <mergeCell ref="F4:F5"/>
    <mergeCell ref="A33:B33"/>
    <mergeCell ref="G3:J3"/>
    <mergeCell ref="G4:G5"/>
    <mergeCell ref="H4:H5"/>
    <mergeCell ref="I4:I5"/>
    <mergeCell ref="S3:Z3"/>
    <mergeCell ref="K4:K5"/>
    <mergeCell ref="L4:L5"/>
    <mergeCell ref="O3:R3"/>
    <mergeCell ref="R4:R5"/>
    <mergeCell ref="K3:N3"/>
    <mergeCell ref="AB4:AC4"/>
    <mergeCell ref="AD4:AE4"/>
    <mergeCell ref="J4:J5"/>
    <mergeCell ref="N4:N5"/>
    <mergeCell ref="W4:Z4"/>
  </mergeCells>
  <conditionalFormatting sqref="U6:U31">
    <cfRule type="top10" priority="81" dxfId="3" stopIfTrue="1" rank="5" bottom="1"/>
    <cfRule type="top10" priority="82" dxfId="0" stopIfTrue="1" rank="5"/>
  </conditionalFormatting>
  <conditionalFormatting sqref="V6:V31">
    <cfRule type="top10" priority="79" dxfId="3" stopIfTrue="1" rank="5" bottom="1"/>
    <cfRule type="top10" priority="80" dxfId="0" stopIfTrue="1" rank="5"/>
  </conditionalFormatting>
  <conditionalFormatting sqref="W6:W31">
    <cfRule type="top10" priority="77" dxfId="3" stopIfTrue="1" rank="5" bottom="1"/>
    <cfRule type="top10" priority="78" dxfId="0" stopIfTrue="1" rank="5"/>
  </conditionalFormatting>
  <conditionalFormatting sqref="X6:X31">
    <cfRule type="top10" priority="75" dxfId="3" stopIfTrue="1" rank="5" bottom="1"/>
    <cfRule type="top10" priority="76" dxfId="0" stopIfTrue="1" rank="5"/>
  </conditionalFormatting>
  <conditionalFormatting sqref="Y6:Y31">
    <cfRule type="top10" priority="73" dxfId="3" stopIfTrue="1" rank="5" bottom="1"/>
    <cfRule type="top10" priority="74" dxfId="0" stopIfTrue="1" rank="5"/>
  </conditionalFormatting>
  <conditionalFormatting sqref="Z6:Z31">
    <cfRule type="top10" priority="71" dxfId="3" stopIfTrue="1" rank="5" bottom="1"/>
    <cfRule type="top10" priority="72" dxfId="0" stopIfTrue="1" rank="5"/>
  </conditionalFormatting>
  <conditionalFormatting sqref="S6:S31">
    <cfRule type="top10" priority="52" dxfId="3" stopIfTrue="1" rank="5" bottom="1"/>
    <cfRule type="top10" priority="53" dxfId="0" stopIfTrue="1" rank="5"/>
  </conditionalFormatting>
  <conditionalFormatting sqref="F6:F31">
    <cfRule type="top10" priority="43" dxfId="0" stopIfTrue="1" rank="3"/>
  </conditionalFormatting>
  <conditionalFormatting sqref="AB6:AC32">
    <cfRule type="top10" priority="10" dxfId="117" stopIfTrue="1" rank="3" bottom="1"/>
    <cfRule type="top10" priority="11" dxfId="0" stopIfTrue="1" rank="3"/>
  </conditionalFormatting>
  <conditionalFormatting sqref="AC6:AC32">
    <cfRule type="top10" priority="9" dxfId="0" stopIfTrue="1" rank="3"/>
  </conditionalFormatting>
  <conditionalFormatting sqref="AD6:AE32">
    <cfRule type="top10" priority="7" dxfId="117" stopIfTrue="1" rank="3" bottom="1"/>
    <cfRule type="top10" priority="8" dxfId="0" stopIfTrue="1" rank="3"/>
  </conditionalFormatting>
  <conditionalFormatting sqref="AE6:AE32">
    <cfRule type="top10" priority="6" dxfId="0" stopIfTrue="1" rank="3"/>
  </conditionalFormatting>
  <conditionalFormatting sqref="AE6:AE31">
    <cfRule type="top10" priority="5" dxfId="117" stopIfTrue="1" rank="3" bottom="1"/>
  </conditionalFormatting>
  <conditionalFormatting sqref="AD6:AD31">
    <cfRule type="top10" priority="4" dxfId="0" stopIfTrue="1" rank="3"/>
  </conditionalFormatting>
  <conditionalFormatting sqref="AC6:AC31">
    <cfRule type="top10" priority="3" dxfId="117" stopIfTrue="1" rank="3" bottom="1"/>
  </conditionalFormatting>
  <conditionalFormatting sqref="AB6:AB31">
    <cfRule type="top10" priority="2" dxfId="117" stopIfTrue="1" rank="3" bottom="1"/>
  </conditionalFormatting>
  <conditionalFormatting sqref="AB6:AB32">
    <cfRule type="top10" priority="1" dxfId="0" stopIfTrue="1" rank="3"/>
  </conditionalFormatting>
  <conditionalFormatting sqref="T6:T31 T33">
    <cfRule type="top10" priority="83" dxfId="3" stopIfTrue="1" rank="5" bottom="1"/>
    <cfRule type="top10" priority="84" dxfId="0" stopIfTrue="1" rank="5" bottom="1"/>
    <cfRule type="top10" priority="85" dxfId="0" stopIfTrue="1" rank="5"/>
  </conditionalFormatting>
  <printOptions/>
  <pageMargins left="0.1968503937007874" right="0.03937007874015748" top="0.3937007874015748" bottom="0.3937007874015748" header="0.2362204724409449" footer="0.2362204724409449"/>
  <pageSetup horizontalDpi="600" verticalDpi="600" orientation="landscape" paperSize="9" scale="63" r:id="rId1"/>
  <rowBreaks count="1" manualBreakCount="1">
    <brk id="35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2"/>
  <sheetViews>
    <sheetView zoomScalePageLayoutView="0" workbookViewId="0" topLeftCell="A10">
      <selection activeCell="Q5" sqref="Q5"/>
    </sheetView>
  </sheetViews>
  <sheetFormatPr defaultColWidth="7.8515625" defaultRowHeight="12.75"/>
  <cols>
    <col min="1" max="1" width="2.421875" style="142" customWidth="1"/>
    <col min="2" max="2" width="2.140625" style="142" hidden="1" customWidth="1"/>
    <col min="3" max="3" width="3.140625" style="142" hidden="1" customWidth="1"/>
    <col min="4" max="4" width="9.28125" style="142" customWidth="1"/>
    <col min="5" max="5" width="8.8515625" style="142" customWidth="1"/>
    <col min="6" max="6" width="8.57421875" style="142" customWidth="1"/>
    <col min="7" max="7" width="8.7109375" style="142" customWidth="1"/>
    <col min="8" max="9" width="9.00390625" style="142" customWidth="1"/>
    <col min="10" max="10" width="8.57421875" style="142" customWidth="1"/>
    <col min="11" max="12" width="9.57421875" style="142" customWidth="1"/>
    <col min="13" max="13" width="8.57421875" style="142" customWidth="1"/>
    <col min="14" max="14" width="10.421875" style="142" customWidth="1"/>
    <col min="15" max="15" width="11.8515625" style="265" bestFit="1" customWidth="1"/>
    <col min="16" max="16" width="7.8515625" style="142" customWidth="1"/>
    <col min="17" max="17" width="12.28125" style="142" customWidth="1"/>
    <col min="18" max="18" width="9.8515625" style="142" customWidth="1"/>
    <col min="19" max="19" width="10.7109375" style="142" customWidth="1"/>
    <col min="20" max="22" width="7.8515625" style="142" customWidth="1"/>
    <col min="23" max="16384" width="7.8515625" style="142" customWidth="1"/>
  </cols>
  <sheetData>
    <row r="1" spans="2:14" ht="18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 t="s">
        <v>136</v>
      </c>
    </row>
    <row r="2" spans="1:18" ht="18" customHeight="1">
      <c r="A2" s="262"/>
      <c r="B2" s="260"/>
      <c r="C2" s="260"/>
      <c r="D2" s="260"/>
      <c r="E2" s="382"/>
      <c r="F2" s="260"/>
      <c r="G2" s="260"/>
      <c r="H2" s="260"/>
      <c r="I2" s="260"/>
      <c r="J2" s="260"/>
      <c r="K2" s="260"/>
      <c r="L2" s="260"/>
      <c r="M2" s="260"/>
      <c r="N2" s="260"/>
      <c r="O2" s="260"/>
      <c r="R2" s="353"/>
    </row>
    <row r="3" spans="1:15" ht="16.5" customHeight="1">
      <c r="A3" s="133" t="s">
        <v>192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  <c r="O3" s="134"/>
    </row>
    <row r="4" spans="1:15" ht="9" customHeight="1" thickBo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32.25" customHeight="1" thickBot="1">
      <c r="A5" s="268" t="s">
        <v>18</v>
      </c>
      <c r="B5" s="269" t="s">
        <v>120</v>
      </c>
      <c r="C5" s="269" t="s">
        <v>121</v>
      </c>
      <c r="D5" s="311">
        <v>41000</v>
      </c>
      <c r="E5" s="311">
        <v>41030</v>
      </c>
      <c r="F5" s="311">
        <v>41061</v>
      </c>
      <c r="G5" s="311">
        <v>41091</v>
      </c>
      <c r="H5" s="311">
        <v>41122</v>
      </c>
      <c r="I5" s="311">
        <v>41153</v>
      </c>
      <c r="J5" s="311">
        <v>41183</v>
      </c>
      <c r="K5" s="311">
        <v>41214</v>
      </c>
      <c r="L5" s="311">
        <v>41244</v>
      </c>
      <c r="M5" s="311">
        <v>41275</v>
      </c>
      <c r="N5" s="311">
        <v>41306</v>
      </c>
      <c r="O5" s="270" t="s">
        <v>2</v>
      </c>
    </row>
    <row r="6" spans="1:18" ht="18" customHeight="1">
      <c r="A6" s="555">
        <v>1</v>
      </c>
      <c r="B6" s="547" t="s">
        <v>39</v>
      </c>
      <c r="C6" s="271" t="s">
        <v>122</v>
      </c>
      <c r="D6" s="272">
        <v>6824</v>
      </c>
      <c r="E6" s="272">
        <v>6196</v>
      </c>
      <c r="F6" s="272">
        <v>4725</v>
      </c>
      <c r="G6" s="272">
        <v>1885</v>
      </c>
      <c r="H6" s="272">
        <v>1877</v>
      </c>
      <c r="I6" s="272">
        <v>1409</v>
      </c>
      <c r="J6" s="272">
        <v>1586</v>
      </c>
      <c r="K6" s="272">
        <v>1042</v>
      </c>
      <c r="L6" s="272">
        <v>1627</v>
      </c>
      <c r="M6" s="272">
        <v>2048</v>
      </c>
      <c r="N6" s="280">
        <f>'Feb 13(2)'!AG7</f>
        <v>2393</v>
      </c>
      <c r="O6" s="273">
        <f>SUM(D6:N6)</f>
        <v>31612</v>
      </c>
      <c r="Q6" s="264"/>
      <c r="R6" s="264"/>
    </row>
    <row r="7" spans="1:18" ht="18" customHeight="1">
      <c r="A7" s="556"/>
      <c r="B7" s="548"/>
      <c r="C7" s="257" t="s">
        <v>123</v>
      </c>
      <c r="D7" s="258">
        <v>4453</v>
      </c>
      <c r="E7" s="258">
        <v>3282</v>
      </c>
      <c r="F7" s="258">
        <v>2145</v>
      </c>
      <c r="G7" s="258">
        <v>31</v>
      </c>
      <c r="H7" s="258">
        <v>215</v>
      </c>
      <c r="I7" s="258">
        <v>350</v>
      </c>
      <c r="J7" s="258">
        <v>366</v>
      </c>
      <c r="K7" s="258">
        <v>541</v>
      </c>
      <c r="L7" s="258">
        <v>112</v>
      </c>
      <c r="M7" s="258">
        <v>59</v>
      </c>
      <c r="N7" s="261">
        <f>'Feb 13(2)'!U7</f>
        <v>76</v>
      </c>
      <c r="O7" s="274">
        <f aca="true" t="shared" si="0" ref="O7:O70">SUM(D7:N7)</f>
        <v>11630</v>
      </c>
      <c r="R7" s="264"/>
    </row>
    <row r="8" spans="1:18" ht="18" customHeight="1" thickBot="1">
      <c r="A8" s="557"/>
      <c r="B8" s="549"/>
      <c r="C8" s="275" t="s">
        <v>124</v>
      </c>
      <c r="D8" s="276">
        <v>2371</v>
      </c>
      <c r="E8" s="276">
        <v>2914</v>
      </c>
      <c r="F8" s="276">
        <v>2580</v>
      </c>
      <c r="G8" s="276">
        <v>1854</v>
      </c>
      <c r="H8" s="276">
        <v>1662</v>
      </c>
      <c r="I8" s="276">
        <v>1059</v>
      </c>
      <c r="J8" s="276">
        <v>1220</v>
      </c>
      <c r="K8" s="276">
        <v>501</v>
      </c>
      <c r="L8" s="276">
        <v>1515</v>
      </c>
      <c r="M8" s="276">
        <v>1989</v>
      </c>
      <c r="N8" s="276">
        <f>N6-N7</f>
        <v>2317</v>
      </c>
      <c r="O8" s="277">
        <f t="shared" si="0"/>
        <v>19982</v>
      </c>
      <c r="R8" s="264"/>
    </row>
    <row r="9" spans="1:18" ht="18" customHeight="1">
      <c r="A9" s="558">
        <v>2</v>
      </c>
      <c r="B9" s="547" t="s">
        <v>128</v>
      </c>
      <c r="C9" s="271" t="s">
        <v>122</v>
      </c>
      <c r="D9" s="272">
        <v>242311</v>
      </c>
      <c r="E9" s="272">
        <v>185736</v>
      </c>
      <c r="F9" s="427">
        <v>187322</v>
      </c>
      <c r="G9" s="272">
        <v>149160</v>
      </c>
      <c r="H9" s="272">
        <v>163205</v>
      </c>
      <c r="I9" s="272">
        <v>205485</v>
      </c>
      <c r="J9" s="427">
        <v>162691</v>
      </c>
      <c r="K9" s="272">
        <v>102100</v>
      </c>
      <c r="L9" s="272">
        <v>123494</v>
      </c>
      <c r="M9" s="427">
        <v>124445</v>
      </c>
      <c r="N9" s="280">
        <f>'Feb 13(2)'!AG8</f>
        <v>101424</v>
      </c>
      <c r="O9" s="273">
        <f t="shared" si="0"/>
        <v>1747373</v>
      </c>
      <c r="R9" s="264"/>
    </row>
    <row r="10" spans="1:18" ht="18" customHeight="1">
      <c r="A10" s="559"/>
      <c r="B10" s="548"/>
      <c r="C10" s="257" t="s">
        <v>123</v>
      </c>
      <c r="D10" s="258">
        <v>242063</v>
      </c>
      <c r="E10" s="258">
        <v>176353</v>
      </c>
      <c r="F10" s="258">
        <v>46434</v>
      </c>
      <c r="G10" s="258">
        <v>129886</v>
      </c>
      <c r="H10" s="258">
        <v>121899</v>
      </c>
      <c r="I10" s="258">
        <v>180860</v>
      </c>
      <c r="J10" s="323">
        <v>127823</v>
      </c>
      <c r="K10" s="258">
        <v>85175</v>
      </c>
      <c r="L10" s="258">
        <v>103491</v>
      </c>
      <c r="M10" s="258">
        <v>89539</v>
      </c>
      <c r="N10" s="261">
        <f>'Feb 13(2)'!U8</f>
        <v>44533</v>
      </c>
      <c r="O10" s="274">
        <f t="shared" si="0"/>
        <v>1348056</v>
      </c>
      <c r="R10" s="264"/>
    </row>
    <row r="11" spans="1:18" ht="18" customHeight="1" thickBot="1">
      <c r="A11" s="560"/>
      <c r="B11" s="549"/>
      <c r="C11" s="275" t="s">
        <v>124</v>
      </c>
      <c r="D11" s="276">
        <v>248</v>
      </c>
      <c r="E11" s="276">
        <v>9383</v>
      </c>
      <c r="F11" s="428">
        <v>140888</v>
      </c>
      <c r="G11" s="276">
        <v>19274</v>
      </c>
      <c r="H11" s="276">
        <v>41306</v>
      </c>
      <c r="I11" s="276">
        <v>24625</v>
      </c>
      <c r="J11" s="276">
        <v>34868</v>
      </c>
      <c r="K11" s="276">
        <v>16925</v>
      </c>
      <c r="L11" s="276">
        <v>20003</v>
      </c>
      <c r="M11" s="276">
        <v>34906</v>
      </c>
      <c r="N11" s="276">
        <f>N9-N10</f>
        <v>56891</v>
      </c>
      <c r="O11" s="277">
        <f t="shared" si="0"/>
        <v>399317</v>
      </c>
      <c r="R11" s="264"/>
    </row>
    <row r="12" spans="1:18" ht="18" customHeight="1">
      <c r="A12" s="558">
        <v>3</v>
      </c>
      <c r="B12" s="547" t="s">
        <v>3</v>
      </c>
      <c r="C12" s="271" t="s">
        <v>122</v>
      </c>
      <c r="D12" s="272">
        <v>57095</v>
      </c>
      <c r="E12" s="272">
        <v>22446</v>
      </c>
      <c r="F12" s="272">
        <v>25287</v>
      </c>
      <c r="G12" s="272">
        <v>25117</v>
      </c>
      <c r="H12" s="272">
        <v>29481</v>
      </c>
      <c r="I12" s="272">
        <v>13845</v>
      </c>
      <c r="J12" s="272">
        <v>17801</v>
      </c>
      <c r="K12" s="272">
        <v>9783</v>
      </c>
      <c r="L12" s="272">
        <v>25938</v>
      </c>
      <c r="M12" s="272">
        <v>33221</v>
      </c>
      <c r="N12" s="280">
        <f>'Feb 13(2)'!AG9</f>
        <v>20568</v>
      </c>
      <c r="O12" s="273">
        <f t="shared" si="0"/>
        <v>280582</v>
      </c>
      <c r="R12" s="264"/>
    </row>
    <row r="13" spans="1:18" ht="18" customHeight="1">
      <c r="A13" s="559"/>
      <c r="B13" s="548"/>
      <c r="C13" s="257" t="s">
        <v>123</v>
      </c>
      <c r="D13" s="258">
        <v>50360</v>
      </c>
      <c r="E13" s="258">
        <v>24043</v>
      </c>
      <c r="F13" s="258">
        <v>23134</v>
      </c>
      <c r="G13" s="258">
        <v>21897</v>
      </c>
      <c r="H13" s="258">
        <v>27234</v>
      </c>
      <c r="I13" s="258">
        <v>13495</v>
      </c>
      <c r="J13" s="258">
        <v>36760</v>
      </c>
      <c r="K13" s="258">
        <v>34310</v>
      </c>
      <c r="L13" s="258">
        <v>20423</v>
      </c>
      <c r="M13" s="258">
        <v>28951</v>
      </c>
      <c r="N13" s="261">
        <f>'Feb 13(2)'!U9</f>
        <v>18961</v>
      </c>
      <c r="O13" s="274">
        <f t="shared" si="0"/>
        <v>299568</v>
      </c>
      <c r="R13" s="264"/>
    </row>
    <row r="14" spans="1:18" ht="18" customHeight="1" thickBot="1">
      <c r="A14" s="560"/>
      <c r="B14" s="549"/>
      <c r="C14" s="275" t="s">
        <v>124</v>
      </c>
      <c r="D14" s="276">
        <v>6735</v>
      </c>
      <c r="E14" s="276">
        <v>-1597</v>
      </c>
      <c r="F14" s="276">
        <v>2153</v>
      </c>
      <c r="G14" s="276">
        <v>3220</v>
      </c>
      <c r="H14" s="276">
        <v>2247</v>
      </c>
      <c r="I14" s="276">
        <v>350</v>
      </c>
      <c r="J14" s="276">
        <v>-18959</v>
      </c>
      <c r="K14" s="276">
        <v>-24527</v>
      </c>
      <c r="L14" s="276">
        <v>5515</v>
      </c>
      <c r="M14" s="276">
        <v>4270</v>
      </c>
      <c r="N14" s="276">
        <f>N12-N13</f>
        <v>1607</v>
      </c>
      <c r="O14" s="277">
        <f t="shared" si="0"/>
        <v>-18986</v>
      </c>
      <c r="R14" s="264"/>
    </row>
    <row r="15" spans="1:18" ht="18" customHeight="1">
      <c r="A15" s="558">
        <v>4</v>
      </c>
      <c r="B15" s="547" t="s">
        <v>31</v>
      </c>
      <c r="C15" s="271" t="s">
        <v>122</v>
      </c>
      <c r="D15" s="272">
        <v>287168</v>
      </c>
      <c r="E15" s="272">
        <v>89217</v>
      </c>
      <c r="F15" s="272">
        <v>27456</v>
      </c>
      <c r="G15" s="272">
        <v>19712</v>
      </c>
      <c r="H15" s="272">
        <v>67591</v>
      </c>
      <c r="I15" s="272">
        <v>60175</v>
      </c>
      <c r="J15" s="272">
        <v>10775</v>
      </c>
      <c r="K15" s="272">
        <v>27570</v>
      </c>
      <c r="L15" s="272">
        <v>38461</v>
      </c>
      <c r="M15" s="272">
        <v>41638</v>
      </c>
      <c r="N15" s="280">
        <f>'Feb 13(2)'!AG10</f>
        <v>44048</v>
      </c>
      <c r="O15" s="273">
        <f t="shared" si="0"/>
        <v>713811</v>
      </c>
      <c r="R15" s="264"/>
    </row>
    <row r="16" spans="1:18" ht="18" customHeight="1">
      <c r="A16" s="559"/>
      <c r="B16" s="548"/>
      <c r="C16" s="257" t="s">
        <v>123</v>
      </c>
      <c r="D16" s="258">
        <v>281798</v>
      </c>
      <c r="E16" s="258">
        <v>58204</v>
      </c>
      <c r="F16" s="258">
        <v>22553</v>
      </c>
      <c r="G16" s="258">
        <v>10533</v>
      </c>
      <c r="H16" s="258">
        <v>58640</v>
      </c>
      <c r="I16" s="258">
        <v>53476</v>
      </c>
      <c r="J16" s="258">
        <v>5879</v>
      </c>
      <c r="K16" s="258">
        <v>52395</v>
      </c>
      <c r="L16" s="258">
        <v>59671</v>
      </c>
      <c r="M16" s="258">
        <v>60022</v>
      </c>
      <c r="N16" s="261">
        <f>'Feb 13(2)'!U10</f>
        <v>63838</v>
      </c>
      <c r="O16" s="274">
        <f t="shared" si="0"/>
        <v>727009</v>
      </c>
      <c r="R16" s="264"/>
    </row>
    <row r="17" spans="1:18" ht="18" customHeight="1" thickBot="1">
      <c r="A17" s="560"/>
      <c r="B17" s="549"/>
      <c r="C17" s="275" t="s">
        <v>124</v>
      </c>
      <c r="D17" s="276">
        <v>5370</v>
      </c>
      <c r="E17" s="276">
        <v>31013</v>
      </c>
      <c r="F17" s="276">
        <v>4903</v>
      </c>
      <c r="G17" s="276">
        <v>9179</v>
      </c>
      <c r="H17" s="276">
        <v>8951</v>
      </c>
      <c r="I17" s="276">
        <v>6699</v>
      </c>
      <c r="J17" s="276">
        <v>4896</v>
      </c>
      <c r="K17" s="276">
        <v>-24825</v>
      </c>
      <c r="L17" s="276">
        <v>-21210</v>
      </c>
      <c r="M17" s="276">
        <v>-18384</v>
      </c>
      <c r="N17" s="276">
        <f>N15-N16</f>
        <v>-19790</v>
      </c>
      <c r="O17" s="277">
        <f t="shared" si="0"/>
        <v>-13198</v>
      </c>
      <c r="R17" s="264"/>
    </row>
    <row r="18" spans="1:18" ht="18" customHeight="1">
      <c r="A18" s="558">
        <v>5</v>
      </c>
      <c r="B18" s="547" t="s">
        <v>5</v>
      </c>
      <c r="C18" s="271" t="s">
        <v>122</v>
      </c>
      <c r="D18" s="272">
        <v>34608</v>
      </c>
      <c r="E18" s="272">
        <v>26559</v>
      </c>
      <c r="F18" s="272">
        <v>21193</v>
      </c>
      <c r="G18" s="272">
        <v>16230</v>
      </c>
      <c r="H18" s="272">
        <v>5652</v>
      </c>
      <c r="I18" s="272">
        <v>13438</v>
      </c>
      <c r="J18" s="272">
        <v>18013</v>
      </c>
      <c r="K18" s="272">
        <v>7579</v>
      </c>
      <c r="L18" s="272">
        <v>17678</v>
      </c>
      <c r="M18" s="272">
        <v>19838</v>
      </c>
      <c r="N18" s="280">
        <f>'Feb 13(2)'!AG11</f>
        <v>19375</v>
      </c>
      <c r="O18" s="273">
        <f t="shared" si="0"/>
        <v>200163</v>
      </c>
      <c r="R18" s="264"/>
    </row>
    <row r="19" spans="1:18" ht="18" customHeight="1">
      <c r="A19" s="559"/>
      <c r="B19" s="548"/>
      <c r="C19" s="257" t="s">
        <v>123</v>
      </c>
      <c r="D19" s="258">
        <v>18</v>
      </c>
      <c r="E19" s="258">
        <v>0</v>
      </c>
      <c r="F19" s="258">
        <v>9</v>
      </c>
      <c r="G19" s="258">
        <v>23</v>
      </c>
      <c r="H19" s="258">
        <v>122</v>
      </c>
      <c r="I19" s="258">
        <v>28</v>
      </c>
      <c r="J19" s="258">
        <v>21</v>
      </c>
      <c r="K19" s="258">
        <v>14</v>
      </c>
      <c r="L19" s="258">
        <v>18</v>
      </c>
      <c r="M19" s="258">
        <v>12</v>
      </c>
      <c r="N19" s="261">
        <f>'Feb 13(2)'!U11</f>
        <v>0</v>
      </c>
      <c r="O19" s="274">
        <f t="shared" si="0"/>
        <v>265</v>
      </c>
      <c r="R19" s="264"/>
    </row>
    <row r="20" spans="1:18" ht="18" customHeight="1" thickBot="1">
      <c r="A20" s="560"/>
      <c r="B20" s="549"/>
      <c r="C20" s="275" t="s">
        <v>124</v>
      </c>
      <c r="D20" s="276">
        <v>34590</v>
      </c>
      <c r="E20" s="276">
        <v>26559</v>
      </c>
      <c r="F20" s="276">
        <v>21184</v>
      </c>
      <c r="G20" s="276">
        <v>16207</v>
      </c>
      <c r="H20" s="276">
        <v>5530</v>
      </c>
      <c r="I20" s="276">
        <v>13410</v>
      </c>
      <c r="J20" s="276">
        <v>17992</v>
      </c>
      <c r="K20" s="276">
        <v>7565</v>
      </c>
      <c r="L20" s="276">
        <v>17660</v>
      </c>
      <c r="M20" s="276">
        <v>19826</v>
      </c>
      <c r="N20" s="276">
        <f>N18-N19</f>
        <v>19375</v>
      </c>
      <c r="O20" s="277">
        <f t="shared" si="0"/>
        <v>199898</v>
      </c>
      <c r="R20" s="264"/>
    </row>
    <row r="21" spans="1:18" ht="18" customHeight="1">
      <c r="A21" s="558">
        <v>6</v>
      </c>
      <c r="B21" s="547" t="s">
        <v>32</v>
      </c>
      <c r="C21" s="271" t="s">
        <v>122</v>
      </c>
      <c r="D21" s="272">
        <v>16271</v>
      </c>
      <c r="E21" s="272">
        <v>0</v>
      </c>
      <c r="F21" s="272">
        <v>2284</v>
      </c>
      <c r="G21" s="272">
        <v>25343</v>
      </c>
      <c r="H21" s="272">
        <v>44312</v>
      </c>
      <c r="I21" s="272">
        <v>17883</v>
      </c>
      <c r="J21" s="272">
        <v>17846</v>
      </c>
      <c r="K21" s="272">
        <v>16744</v>
      </c>
      <c r="L21" s="272">
        <v>20506</v>
      </c>
      <c r="M21" s="272">
        <v>13522</v>
      </c>
      <c r="N21" s="280">
        <f>'Feb 13(2)'!AG12</f>
        <v>21445</v>
      </c>
      <c r="O21" s="273">
        <f t="shared" si="0"/>
        <v>196156</v>
      </c>
      <c r="R21" s="264"/>
    </row>
    <row r="22" spans="1:18" ht="18" customHeight="1">
      <c r="A22" s="559"/>
      <c r="B22" s="548"/>
      <c r="C22" s="257" t="s">
        <v>123</v>
      </c>
      <c r="D22" s="258">
        <v>1286</v>
      </c>
      <c r="E22" s="258">
        <v>23135</v>
      </c>
      <c r="F22" s="258">
        <v>1948</v>
      </c>
      <c r="G22" s="258">
        <v>2476</v>
      </c>
      <c r="H22" s="258">
        <v>2129</v>
      </c>
      <c r="I22" s="258">
        <v>2581</v>
      </c>
      <c r="J22" s="258">
        <v>1810</v>
      </c>
      <c r="K22" s="258">
        <v>1423</v>
      </c>
      <c r="L22" s="258">
        <v>2294</v>
      </c>
      <c r="M22" s="258">
        <v>1191</v>
      </c>
      <c r="N22" s="261">
        <f>'Feb 13(2)'!U12</f>
        <v>1497</v>
      </c>
      <c r="O22" s="274">
        <f t="shared" si="0"/>
        <v>41770</v>
      </c>
      <c r="R22" s="264"/>
    </row>
    <row r="23" spans="1:18" ht="18" customHeight="1" thickBot="1">
      <c r="A23" s="560"/>
      <c r="B23" s="549"/>
      <c r="C23" s="275" t="s">
        <v>124</v>
      </c>
      <c r="D23" s="276">
        <v>14985</v>
      </c>
      <c r="E23" s="276">
        <v>-23135</v>
      </c>
      <c r="F23" s="276">
        <v>336</v>
      </c>
      <c r="G23" s="276">
        <v>22867</v>
      </c>
      <c r="H23" s="276">
        <v>42183</v>
      </c>
      <c r="I23" s="276">
        <v>15302</v>
      </c>
      <c r="J23" s="276">
        <v>16036</v>
      </c>
      <c r="K23" s="276">
        <v>15321</v>
      </c>
      <c r="L23" s="276">
        <v>18212</v>
      </c>
      <c r="M23" s="276">
        <v>12331</v>
      </c>
      <c r="N23" s="276">
        <f>N21-N22</f>
        <v>19948</v>
      </c>
      <c r="O23" s="277">
        <f t="shared" si="0"/>
        <v>154386</v>
      </c>
      <c r="R23" s="264"/>
    </row>
    <row r="24" spans="1:18" ht="18" customHeight="1">
      <c r="A24" s="558">
        <v>7</v>
      </c>
      <c r="B24" s="547" t="s">
        <v>66</v>
      </c>
      <c r="C24" s="271" t="s">
        <v>122</v>
      </c>
      <c r="D24" s="272">
        <v>46605</v>
      </c>
      <c r="E24" s="272">
        <v>48242</v>
      </c>
      <c r="F24" s="272">
        <v>35492</v>
      </c>
      <c r="G24" s="272">
        <v>49635</v>
      </c>
      <c r="H24" s="272">
        <v>48303</v>
      </c>
      <c r="I24" s="272">
        <v>47753</v>
      </c>
      <c r="J24" s="272">
        <v>45539</v>
      </c>
      <c r="K24" s="272">
        <v>22546</v>
      </c>
      <c r="L24" s="272">
        <v>39102</v>
      </c>
      <c r="M24" s="272">
        <v>37152</v>
      </c>
      <c r="N24" s="280">
        <f>'Feb 13(2)'!AG13</f>
        <v>32778</v>
      </c>
      <c r="O24" s="273">
        <f t="shared" si="0"/>
        <v>453147</v>
      </c>
      <c r="R24" s="264"/>
    </row>
    <row r="25" spans="1:18" ht="18" customHeight="1">
      <c r="A25" s="559"/>
      <c r="B25" s="548"/>
      <c r="C25" s="257" t="s">
        <v>123</v>
      </c>
      <c r="D25" s="258">
        <v>42037</v>
      </c>
      <c r="E25" s="258">
        <v>41185</v>
      </c>
      <c r="F25" s="258">
        <v>11412</v>
      </c>
      <c r="G25" s="258">
        <v>12744</v>
      </c>
      <c r="H25" s="258">
        <v>44490</v>
      </c>
      <c r="I25" s="258">
        <v>47194</v>
      </c>
      <c r="J25" s="258">
        <v>47067</v>
      </c>
      <c r="K25" s="258">
        <v>42746</v>
      </c>
      <c r="L25" s="258">
        <v>45009</v>
      </c>
      <c r="M25" s="258">
        <v>27788</v>
      </c>
      <c r="N25" s="261">
        <f>'Feb 13(2)'!U13</f>
        <v>11997</v>
      </c>
      <c r="O25" s="274">
        <f t="shared" si="0"/>
        <v>373669</v>
      </c>
      <c r="R25" s="264"/>
    </row>
    <row r="26" spans="1:18" ht="18" customHeight="1" thickBot="1">
      <c r="A26" s="560"/>
      <c r="B26" s="549"/>
      <c r="C26" s="275" t="s">
        <v>124</v>
      </c>
      <c r="D26" s="276">
        <v>4568</v>
      </c>
      <c r="E26" s="276">
        <v>7057</v>
      </c>
      <c r="F26" s="276">
        <v>24080</v>
      </c>
      <c r="G26" s="276">
        <v>36891</v>
      </c>
      <c r="H26" s="276">
        <v>3813</v>
      </c>
      <c r="I26" s="276">
        <v>559</v>
      </c>
      <c r="J26" s="276">
        <v>-1528</v>
      </c>
      <c r="K26" s="276">
        <v>-20200</v>
      </c>
      <c r="L26" s="276">
        <v>-5907</v>
      </c>
      <c r="M26" s="276">
        <v>9364</v>
      </c>
      <c r="N26" s="276">
        <f>N24-N25</f>
        <v>20781</v>
      </c>
      <c r="O26" s="277">
        <f t="shared" si="0"/>
        <v>79478</v>
      </c>
      <c r="R26" s="264"/>
    </row>
    <row r="27" spans="1:18" ht="18" customHeight="1">
      <c r="A27" s="558">
        <v>8</v>
      </c>
      <c r="B27" s="547" t="s">
        <v>125</v>
      </c>
      <c r="C27" s="271" t="s">
        <v>122</v>
      </c>
      <c r="D27" s="272">
        <v>21833</v>
      </c>
      <c r="E27" s="272">
        <v>23641</v>
      </c>
      <c r="F27" s="272">
        <v>23566</v>
      </c>
      <c r="G27" s="272">
        <v>24373</v>
      </c>
      <c r="H27" s="272">
        <v>24692</v>
      </c>
      <c r="I27" s="272">
        <v>23055</v>
      </c>
      <c r="J27" s="272">
        <v>21054</v>
      </c>
      <c r="K27" s="272">
        <v>13683</v>
      </c>
      <c r="L27" s="272">
        <v>17784</v>
      </c>
      <c r="M27" s="272">
        <v>17486</v>
      </c>
      <c r="N27" s="280">
        <f>'Feb 13(2)'!AG14</f>
        <v>16719</v>
      </c>
      <c r="O27" s="273">
        <f t="shared" si="0"/>
        <v>227886</v>
      </c>
      <c r="R27" s="264"/>
    </row>
    <row r="28" spans="1:18" ht="18" customHeight="1">
      <c r="A28" s="559"/>
      <c r="B28" s="548"/>
      <c r="C28" s="257" t="s">
        <v>123</v>
      </c>
      <c r="D28" s="258">
        <v>248170</v>
      </c>
      <c r="E28" s="258">
        <v>10840</v>
      </c>
      <c r="F28" s="258">
        <v>2980</v>
      </c>
      <c r="G28" s="258">
        <v>2983</v>
      </c>
      <c r="H28" s="258">
        <v>2795</v>
      </c>
      <c r="I28" s="258">
        <v>2817</v>
      </c>
      <c r="J28" s="258">
        <v>2415</v>
      </c>
      <c r="K28" s="258">
        <v>1808</v>
      </c>
      <c r="L28" s="258">
        <v>1650</v>
      </c>
      <c r="M28" s="258">
        <v>2460</v>
      </c>
      <c r="N28" s="261">
        <f>'Feb 13(2)'!U14</f>
        <v>2134</v>
      </c>
      <c r="O28" s="274">
        <f t="shared" si="0"/>
        <v>281052</v>
      </c>
      <c r="R28" s="264"/>
    </row>
    <row r="29" spans="1:18" ht="18" customHeight="1" thickBot="1">
      <c r="A29" s="560"/>
      <c r="B29" s="549"/>
      <c r="C29" s="275" t="s">
        <v>124</v>
      </c>
      <c r="D29" s="428">
        <v>-226337</v>
      </c>
      <c r="E29" s="276">
        <v>12801</v>
      </c>
      <c r="F29" s="276">
        <v>20586</v>
      </c>
      <c r="G29" s="276">
        <v>21390</v>
      </c>
      <c r="H29" s="276">
        <v>21897</v>
      </c>
      <c r="I29" s="276">
        <v>20238</v>
      </c>
      <c r="J29" s="276">
        <v>18639</v>
      </c>
      <c r="K29" s="276">
        <v>11875</v>
      </c>
      <c r="L29" s="276">
        <v>16134</v>
      </c>
      <c r="M29" s="276">
        <v>15026</v>
      </c>
      <c r="N29" s="276">
        <f>N27-N28</f>
        <v>14585</v>
      </c>
      <c r="O29" s="277">
        <f t="shared" si="0"/>
        <v>-53166</v>
      </c>
      <c r="R29" s="264"/>
    </row>
    <row r="30" spans="1:18" ht="18" customHeight="1">
      <c r="A30" s="558">
        <v>9</v>
      </c>
      <c r="B30" s="547" t="s">
        <v>33</v>
      </c>
      <c r="C30" s="271" t="s">
        <v>122</v>
      </c>
      <c r="D30" s="272">
        <v>35064</v>
      </c>
      <c r="E30" s="272">
        <v>42460</v>
      </c>
      <c r="F30" s="272">
        <v>40971</v>
      </c>
      <c r="G30" s="272">
        <v>46644</v>
      </c>
      <c r="H30" s="272">
        <v>33194</v>
      </c>
      <c r="I30" s="272">
        <v>34399</v>
      </c>
      <c r="J30" s="272">
        <v>27564</v>
      </c>
      <c r="K30" s="272">
        <v>14876</v>
      </c>
      <c r="L30" s="272">
        <v>786</v>
      </c>
      <c r="M30" s="272">
        <v>33970</v>
      </c>
      <c r="N30" s="280">
        <f>'Feb 13(2)'!AG15</f>
        <v>25057</v>
      </c>
      <c r="O30" s="273">
        <f t="shared" si="0"/>
        <v>334985</v>
      </c>
      <c r="R30" s="264"/>
    </row>
    <row r="31" spans="1:18" ht="18" customHeight="1">
      <c r="A31" s="559"/>
      <c r="B31" s="548"/>
      <c r="C31" s="257" t="s">
        <v>123</v>
      </c>
      <c r="D31" s="258">
        <v>13956</v>
      </c>
      <c r="E31" s="258">
        <v>20847</v>
      </c>
      <c r="F31" s="258">
        <v>18203</v>
      </c>
      <c r="G31" s="258">
        <v>24562</v>
      </c>
      <c r="H31" s="258">
        <v>17528</v>
      </c>
      <c r="I31" s="258">
        <v>30877</v>
      </c>
      <c r="J31" s="258">
        <v>11431</v>
      </c>
      <c r="K31" s="258">
        <v>11431</v>
      </c>
      <c r="L31" s="258">
        <v>12832</v>
      </c>
      <c r="M31" s="258">
        <v>25707</v>
      </c>
      <c r="N31" s="261">
        <f>'Feb 13(2)'!U15</f>
        <v>25707</v>
      </c>
      <c r="O31" s="274">
        <f t="shared" si="0"/>
        <v>213081</v>
      </c>
      <c r="R31" s="264"/>
    </row>
    <row r="32" spans="1:18" ht="18" customHeight="1" thickBot="1">
      <c r="A32" s="560"/>
      <c r="B32" s="549"/>
      <c r="C32" s="275" t="s">
        <v>124</v>
      </c>
      <c r="D32" s="276">
        <v>21108</v>
      </c>
      <c r="E32" s="276">
        <v>21613</v>
      </c>
      <c r="F32" s="276">
        <v>22768</v>
      </c>
      <c r="G32" s="276">
        <v>22082</v>
      </c>
      <c r="H32" s="276">
        <v>15666</v>
      </c>
      <c r="I32" s="276">
        <v>3522</v>
      </c>
      <c r="J32" s="276">
        <v>16133</v>
      </c>
      <c r="K32" s="276">
        <v>3445</v>
      </c>
      <c r="L32" s="276">
        <v>-12046</v>
      </c>
      <c r="M32" s="276">
        <v>8263</v>
      </c>
      <c r="N32" s="276">
        <f>N30-N31</f>
        <v>-650</v>
      </c>
      <c r="O32" s="277">
        <f t="shared" si="0"/>
        <v>121904</v>
      </c>
      <c r="R32" s="264"/>
    </row>
    <row r="33" spans="1:18" ht="18" customHeight="1">
      <c r="A33" s="561">
        <v>10</v>
      </c>
      <c r="B33" s="547" t="s">
        <v>6</v>
      </c>
      <c r="C33" s="271" t="s">
        <v>122</v>
      </c>
      <c r="D33" s="272">
        <v>73324</v>
      </c>
      <c r="E33" s="272">
        <v>11516</v>
      </c>
      <c r="F33" s="272">
        <v>18587</v>
      </c>
      <c r="G33" s="272">
        <v>7792</v>
      </c>
      <c r="H33" s="272">
        <v>26016</v>
      </c>
      <c r="I33" s="272">
        <v>17429</v>
      </c>
      <c r="J33" s="272">
        <v>1733</v>
      </c>
      <c r="K33" s="272">
        <v>10015</v>
      </c>
      <c r="L33" s="272">
        <v>10200</v>
      </c>
      <c r="M33" s="272">
        <v>11340</v>
      </c>
      <c r="N33" s="280">
        <f>'Feb 13(2)'!AG16</f>
        <v>11571</v>
      </c>
      <c r="O33" s="273">
        <f t="shared" si="0"/>
        <v>199523</v>
      </c>
      <c r="R33" s="264"/>
    </row>
    <row r="34" spans="1:18" ht="18" customHeight="1">
      <c r="A34" s="562"/>
      <c r="B34" s="548"/>
      <c r="C34" s="257" t="s">
        <v>123</v>
      </c>
      <c r="D34" s="258">
        <v>68395</v>
      </c>
      <c r="E34" s="258">
        <v>10700</v>
      </c>
      <c r="F34" s="258">
        <v>17474</v>
      </c>
      <c r="G34" s="258">
        <v>1250</v>
      </c>
      <c r="H34" s="258">
        <v>21572</v>
      </c>
      <c r="I34" s="258">
        <v>17378</v>
      </c>
      <c r="J34" s="258">
        <v>3626</v>
      </c>
      <c r="K34" s="258">
        <v>19078</v>
      </c>
      <c r="L34" s="258">
        <v>17525</v>
      </c>
      <c r="M34" s="258">
        <v>17597</v>
      </c>
      <c r="N34" s="261">
        <f>'Feb 13(2)'!U16</f>
        <v>19525</v>
      </c>
      <c r="O34" s="274">
        <f t="shared" si="0"/>
        <v>214120</v>
      </c>
      <c r="R34" s="264"/>
    </row>
    <row r="35" spans="1:18" ht="18" customHeight="1" thickBot="1">
      <c r="A35" s="563"/>
      <c r="B35" s="549"/>
      <c r="C35" s="275" t="s">
        <v>124</v>
      </c>
      <c r="D35" s="276">
        <v>4929</v>
      </c>
      <c r="E35" s="276">
        <v>816</v>
      </c>
      <c r="F35" s="276">
        <v>1113</v>
      </c>
      <c r="G35" s="276">
        <v>6542</v>
      </c>
      <c r="H35" s="276">
        <v>4444</v>
      </c>
      <c r="I35" s="276">
        <v>51</v>
      </c>
      <c r="J35" s="276">
        <v>-1893</v>
      </c>
      <c r="K35" s="276">
        <v>-9063</v>
      </c>
      <c r="L35" s="276">
        <v>-7325</v>
      </c>
      <c r="M35" s="276">
        <v>-6257</v>
      </c>
      <c r="N35" s="276">
        <f>N33-N34</f>
        <v>-7954</v>
      </c>
      <c r="O35" s="277">
        <f t="shared" si="0"/>
        <v>-14597</v>
      </c>
      <c r="R35" s="412"/>
    </row>
    <row r="36" spans="1:18" ht="18" customHeight="1">
      <c r="A36" s="561">
        <v>11</v>
      </c>
      <c r="B36" s="547" t="s">
        <v>126</v>
      </c>
      <c r="C36" s="271" t="s">
        <v>122</v>
      </c>
      <c r="D36" s="272">
        <v>147707</v>
      </c>
      <c r="E36" s="272">
        <v>111082</v>
      </c>
      <c r="F36" s="427">
        <v>115783</v>
      </c>
      <c r="G36" s="272">
        <v>120915</v>
      </c>
      <c r="H36" s="272">
        <v>114751</v>
      </c>
      <c r="I36" s="272">
        <v>103541</v>
      </c>
      <c r="J36" s="427">
        <v>101046</v>
      </c>
      <c r="K36" s="272">
        <v>47133</v>
      </c>
      <c r="L36" s="272">
        <v>63848</v>
      </c>
      <c r="M36" s="272">
        <v>66329</v>
      </c>
      <c r="N36" s="280">
        <f>'Feb 13(2)'!AG17</f>
        <v>62593</v>
      </c>
      <c r="O36" s="273">
        <f t="shared" si="0"/>
        <v>1054728</v>
      </c>
      <c r="R36" s="264"/>
    </row>
    <row r="37" spans="1:18" ht="18" customHeight="1">
      <c r="A37" s="562"/>
      <c r="B37" s="548"/>
      <c r="C37" s="257" t="s">
        <v>123</v>
      </c>
      <c r="D37" s="258">
        <v>80493</v>
      </c>
      <c r="E37" s="258">
        <v>127725</v>
      </c>
      <c r="F37" s="258">
        <v>74069</v>
      </c>
      <c r="G37" s="258">
        <v>80585</v>
      </c>
      <c r="H37" s="258">
        <v>81954</v>
      </c>
      <c r="I37" s="258">
        <v>96222</v>
      </c>
      <c r="J37" s="258">
        <v>58633</v>
      </c>
      <c r="K37" s="258">
        <v>22851</v>
      </c>
      <c r="L37" s="258">
        <v>49038</v>
      </c>
      <c r="M37" s="258">
        <v>38742</v>
      </c>
      <c r="N37" s="261">
        <f>'Feb 13(2)'!U17</f>
        <v>8411</v>
      </c>
      <c r="O37" s="274">
        <f t="shared" si="0"/>
        <v>718723</v>
      </c>
      <c r="R37" s="264"/>
    </row>
    <row r="38" spans="1:18" ht="18" customHeight="1" thickBot="1">
      <c r="A38" s="563"/>
      <c r="B38" s="549"/>
      <c r="C38" s="275" t="s">
        <v>124</v>
      </c>
      <c r="D38" s="276">
        <v>67214</v>
      </c>
      <c r="E38" s="276">
        <v>-16643</v>
      </c>
      <c r="F38" s="276">
        <v>41714</v>
      </c>
      <c r="G38" s="276">
        <v>40330</v>
      </c>
      <c r="H38" s="276">
        <v>32797</v>
      </c>
      <c r="I38" s="276">
        <v>7319</v>
      </c>
      <c r="J38" s="276">
        <v>42413</v>
      </c>
      <c r="K38" s="276">
        <v>24282</v>
      </c>
      <c r="L38" s="276">
        <v>14810</v>
      </c>
      <c r="M38" s="276">
        <v>27587</v>
      </c>
      <c r="N38" s="276">
        <f>N36-N37</f>
        <v>54182</v>
      </c>
      <c r="O38" s="277">
        <f t="shared" si="0"/>
        <v>336005</v>
      </c>
      <c r="R38" s="264"/>
    </row>
    <row r="39" spans="1:18" ht="18" customHeight="1">
      <c r="A39" s="561">
        <v>12</v>
      </c>
      <c r="B39" s="547" t="s">
        <v>35</v>
      </c>
      <c r="C39" s="271" t="s">
        <v>122</v>
      </c>
      <c r="D39" s="272">
        <v>84632</v>
      </c>
      <c r="E39" s="272">
        <v>78723</v>
      </c>
      <c r="F39" s="272">
        <v>57316</v>
      </c>
      <c r="G39" s="272">
        <v>52076</v>
      </c>
      <c r="H39" s="272">
        <v>73061</v>
      </c>
      <c r="I39" s="272">
        <v>82227</v>
      </c>
      <c r="J39" s="272">
        <v>47570</v>
      </c>
      <c r="K39" s="272">
        <v>40783</v>
      </c>
      <c r="L39" s="272">
        <v>90000</v>
      </c>
      <c r="M39" s="272">
        <v>46544</v>
      </c>
      <c r="N39" s="280">
        <f>'Feb 13(2)'!AG18</f>
        <v>41638</v>
      </c>
      <c r="O39" s="273">
        <f t="shared" si="0"/>
        <v>694570</v>
      </c>
      <c r="R39" s="264"/>
    </row>
    <row r="40" spans="1:18" ht="18" customHeight="1">
      <c r="A40" s="562"/>
      <c r="B40" s="548"/>
      <c r="C40" s="257" t="s">
        <v>123</v>
      </c>
      <c r="D40" s="258">
        <v>1659</v>
      </c>
      <c r="E40" s="258">
        <v>2333</v>
      </c>
      <c r="F40" s="258">
        <v>2751</v>
      </c>
      <c r="G40" s="258">
        <v>2895</v>
      </c>
      <c r="H40" s="258">
        <v>2576</v>
      </c>
      <c r="I40" s="258">
        <v>2318</v>
      </c>
      <c r="J40" s="258">
        <v>1878</v>
      </c>
      <c r="K40" s="258">
        <v>1093</v>
      </c>
      <c r="L40" s="258">
        <v>36446</v>
      </c>
      <c r="M40" s="258">
        <v>1841</v>
      </c>
      <c r="N40" s="261">
        <f>'Feb 13(2)'!U18</f>
        <v>1295</v>
      </c>
      <c r="O40" s="274">
        <f t="shared" si="0"/>
        <v>57085</v>
      </c>
      <c r="R40" s="264"/>
    </row>
    <row r="41" spans="1:18" ht="18" customHeight="1" thickBot="1">
      <c r="A41" s="563"/>
      <c r="B41" s="549"/>
      <c r="C41" s="275" t="s">
        <v>124</v>
      </c>
      <c r="D41" s="276">
        <v>82973</v>
      </c>
      <c r="E41" s="276">
        <v>76390</v>
      </c>
      <c r="F41" s="276">
        <v>54565</v>
      </c>
      <c r="G41" s="276">
        <v>49181</v>
      </c>
      <c r="H41" s="276">
        <v>70485</v>
      </c>
      <c r="I41" s="276">
        <v>79909</v>
      </c>
      <c r="J41" s="276">
        <v>45692</v>
      </c>
      <c r="K41" s="276">
        <v>39690</v>
      </c>
      <c r="L41" s="276">
        <v>53554</v>
      </c>
      <c r="M41" s="276">
        <v>44703</v>
      </c>
      <c r="N41" s="276">
        <f>N39-N40</f>
        <v>40343</v>
      </c>
      <c r="O41" s="277">
        <f t="shared" si="0"/>
        <v>637485</v>
      </c>
      <c r="R41" s="264"/>
    </row>
    <row r="42" spans="1:18" ht="18" customHeight="1">
      <c r="A42" s="561">
        <v>13</v>
      </c>
      <c r="B42" s="547" t="s">
        <v>127</v>
      </c>
      <c r="C42" s="271" t="s">
        <v>122</v>
      </c>
      <c r="D42" s="272">
        <v>63158</v>
      </c>
      <c r="E42" s="272">
        <v>41801</v>
      </c>
      <c r="F42" s="427">
        <v>187641</v>
      </c>
      <c r="G42" s="272">
        <v>59785</v>
      </c>
      <c r="H42" s="272">
        <v>63006</v>
      </c>
      <c r="I42" s="272">
        <v>52518</v>
      </c>
      <c r="J42" s="272">
        <v>50622</v>
      </c>
      <c r="K42" s="272">
        <v>32348</v>
      </c>
      <c r="L42" s="272">
        <v>44561</v>
      </c>
      <c r="M42" s="427">
        <v>114767</v>
      </c>
      <c r="N42" s="280">
        <f>'Feb 13(2)'!AG19</f>
        <v>39666</v>
      </c>
      <c r="O42" s="273">
        <f t="shared" si="0"/>
        <v>749873</v>
      </c>
      <c r="R42" s="264"/>
    </row>
    <row r="43" spans="1:18" ht="18" customHeight="1">
      <c r="A43" s="562"/>
      <c r="B43" s="548"/>
      <c r="C43" s="257" t="s">
        <v>123</v>
      </c>
      <c r="D43" s="258">
        <v>51521</v>
      </c>
      <c r="E43" s="258">
        <v>118385</v>
      </c>
      <c r="F43" s="323">
        <v>177925</v>
      </c>
      <c r="G43" s="258">
        <v>10284</v>
      </c>
      <c r="H43" s="258">
        <v>43830</v>
      </c>
      <c r="I43" s="258">
        <v>17119</v>
      </c>
      <c r="J43" s="258">
        <v>44846</v>
      </c>
      <c r="K43" s="258">
        <v>17843</v>
      </c>
      <c r="L43" s="258">
        <v>10474</v>
      </c>
      <c r="M43" s="258">
        <v>10018</v>
      </c>
      <c r="N43" s="261">
        <f>'Feb 13(2)'!U19</f>
        <v>9526</v>
      </c>
      <c r="O43" s="274">
        <f t="shared" si="0"/>
        <v>511771</v>
      </c>
      <c r="R43" s="264"/>
    </row>
    <row r="44" spans="1:18" ht="18" customHeight="1" thickBot="1">
      <c r="A44" s="563"/>
      <c r="B44" s="549"/>
      <c r="C44" s="275" t="s">
        <v>124</v>
      </c>
      <c r="D44" s="276">
        <v>11637</v>
      </c>
      <c r="E44" s="276">
        <v>-76584</v>
      </c>
      <c r="F44" s="276">
        <v>9716</v>
      </c>
      <c r="G44" s="276">
        <v>49501</v>
      </c>
      <c r="H44" s="276">
        <v>19176</v>
      </c>
      <c r="I44" s="276">
        <v>35399</v>
      </c>
      <c r="J44" s="276">
        <v>5776</v>
      </c>
      <c r="K44" s="276">
        <v>14505</v>
      </c>
      <c r="L44" s="276">
        <v>34087</v>
      </c>
      <c r="M44" s="428">
        <v>104749</v>
      </c>
      <c r="N44" s="276">
        <f>N42-N43</f>
        <v>30140</v>
      </c>
      <c r="O44" s="277">
        <f t="shared" si="0"/>
        <v>238102</v>
      </c>
      <c r="R44" s="264"/>
    </row>
    <row r="45" spans="1:19" ht="18" customHeight="1">
      <c r="A45" s="561">
        <v>14</v>
      </c>
      <c r="B45" s="547" t="s">
        <v>36</v>
      </c>
      <c r="C45" s="271" t="s">
        <v>122</v>
      </c>
      <c r="D45" s="272">
        <v>156042</v>
      </c>
      <c r="E45" s="272">
        <v>285346</v>
      </c>
      <c r="F45" s="427">
        <v>208057</v>
      </c>
      <c r="G45" s="272">
        <v>214404</v>
      </c>
      <c r="H45" s="272">
        <v>188887</v>
      </c>
      <c r="I45" s="272">
        <v>175185</v>
      </c>
      <c r="J45" s="427">
        <v>153697</v>
      </c>
      <c r="K45" s="272">
        <v>107411</v>
      </c>
      <c r="L45" s="272">
        <v>95949</v>
      </c>
      <c r="M45" s="272">
        <v>84644</v>
      </c>
      <c r="N45" s="280">
        <f>'Feb 13(2)'!AG20</f>
        <v>82218</v>
      </c>
      <c r="O45" s="273">
        <f>SUM(D45:N45)</f>
        <v>1751840</v>
      </c>
      <c r="R45" s="264"/>
      <c r="S45" s="264"/>
    </row>
    <row r="46" spans="1:19" ht="18" customHeight="1">
      <c r="A46" s="562"/>
      <c r="B46" s="548"/>
      <c r="C46" s="257" t="s">
        <v>123</v>
      </c>
      <c r="D46" s="258">
        <v>593979</v>
      </c>
      <c r="E46" s="258">
        <v>106908</v>
      </c>
      <c r="F46" s="258">
        <v>61436</v>
      </c>
      <c r="G46" s="258">
        <v>54466</v>
      </c>
      <c r="H46" s="258">
        <v>29869</v>
      </c>
      <c r="I46" s="258">
        <v>38150</v>
      </c>
      <c r="J46" s="258">
        <v>35966</v>
      </c>
      <c r="K46" s="258">
        <v>128737</v>
      </c>
      <c r="L46" s="258">
        <v>28739</v>
      </c>
      <c r="M46" s="258">
        <v>27427</v>
      </c>
      <c r="N46" s="261">
        <f>'Feb 13(2)'!U20</f>
        <v>18684</v>
      </c>
      <c r="O46" s="274">
        <f>SUM(D46:N46)</f>
        <v>1124361</v>
      </c>
      <c r="R46" s="264"/>
      <c r="S46" s="264"/>
    </row>
    <row r="47" spans="1:18" ht="18" customHeight="1" thickBot="1">
      <c r="A47" s="563"/>
      <c r="B47" s="549"/>
      <c r="C47" s="275" t="s">
        <v>124</v>
      </c>
      <c r="D47" s="447">
        <v>-437937</v>
      </c>
      <c r="E47" s="276">
        <v>178438</v>
      </c>
      <c r="F47" s="428">
        <v>146621</v>
      </c>
      <c r="G47" s="276">
        <v>159938</v>
      </c>
      <c r="H47" s="276">
        <v>159018</v>
      </c>
      <c r="I47" s="276">
        <v>137035</v>
      </c>
      <c r="J47" s="428">
        <v>117731</v>
      </c>
      <c r="K47" s="276">
        <v>-21326</v>
      </c>
      <c r="L47" s="276">
        <v>67210</v>
      </c>
      <c r="M47" s="276">
        <v>57217</v>
      </c>
      <c r="N47" s="276">
        <f>N45-N46</f>
        <v>63534</v>
      </c>
      <c r="O47" s="277">
        <f>SUM(D47:N47)</f>
        <v>627479</v>
      </c>
      <c r="R47" s="264"/>
    </row>
    <row r="48" spans="1:18" ht="18" customHeight="1">
      <c r="A48" s="561">
        <v>15</v>
      </c>
      <c r="B48" s="547" t="s">
        <v>13</v>
      </c>
      <c r="C48" s="271" t="s">
        <v>122</v>
      </c>
      <c r="D48" s="272">
        <v>14651</v>
      </c>
      <c r="E48" s="272">
        <v>13785</v>
      </c>
      <c r="F48" s="272">
        <v>7242</v>
      </c>
      <c r="G48" s="272">
        <v>15635</v>
      </c>
      <c r="H48" s="272">
        <v>14258</v>
      </c>
      <c r="I48" s="272">
        <v>14694</v>
      </c>
      <c r="J48" s="272">
        <v>13306</v>
      </c>
      <c r="K48" s="272">
        <v>5794</v>
      </c>
      <c r="L48" s="272">
        <v>7912</v>
      </c>
      <c r="M48" s="272">
        <v>9707</v>
      </c>
      <c r="N48" s="280">
        <f>'Feb 13(2)'!AG21</f>
        <v>14193</v>
      </c>
      <c r="O48" s="273">
        <f t="shared" si="0"/>
        <v>131177</v>
      </c>
      <c r="R48" s="264"/>
    </row>
    <row r="49" spans="1:18" ht="18" customHeight="1">
      <c r="A49" s="564"/>
      <c r="B49" s="548"/>
      <c r="C49" s="257" t="s">
        <v>123</v>
      </c>
      <c r="D49" s="258">
        <v>98</v>
      </c>
      <c r="E49" s="258">
        <v>63</v>
      </c>
      <c r="F49" s="258">
        <v>61</v>
      </c>
      <c r="G49" s="258">
        <v>116</v>
      </c>
      <c r="H49" s="258">
        <v>95</v>
      </c>
      <c r="I49" s="258">
        <v>261</v>
      </c>
      <c r="J49" s="258">
        <v>218</v>
      </c>
      <c r="K49" s="258">
        <v>485</v>
      </c>
      <c r="L49" s="258">
        <v>549</v>
      </c>
      <c r="M49" s="258">
        <v>301</v>
      </c>
      <c r="N49" s="261">
        <f>'Feb 13(2)'!U21</f>
        <v>495</v>
      </c>
      <c r="O49" s="274">
        <f t="shared" si="0"/>
        <v>2742</v>
      </c>
      <c r="R49" s="264"/>
    </row>
    <row r="50" spans="1:18" ht="18" customHeight="1" thickBot="1">
      <c r="A50" s="565"/>
      <c r="B50" s="549"/>
      <c r="C50" s="275" t="s">
        <v>124</v>
      </c>
      <c r="D50" s="276">
        <v>14553</v>
      </c>
      <c r="E50" s="276">
        <v>13722</v>
      </c>
      <c r="F50" s="276">
        <v>7181</v>
      </c>
      <c r="G50" s="276">
        <v>15519</v>
      </c>
      <c r="H50" s="276">
        <v>14163</v>
      </c>
      <c r="I50" s="276">
        <v>14433</v>
      </c>
      <c r="J50" s="276">
        <v>13088</v>
      </c>
      <c r="K50" s="276">
        <v>5309</v>
      </c>
      <c r="L50" s="276">
        <v>7363</v>
      </c>
      <c r="M50" s="276">
        <v>9406</v>
      </c>
      <c r="N50" s="276">
        <f>N48-N49</f>
        <v>13698</v>
      </c>
      <c r="O50" s="277">
        <f t="shared" si="0"/>
        <v>128435</v>
      </c>
      <c r="R50" s="264"/>
    </row>
    <row r="51" spans="1:18" ht="18" customHeight="1">
      <c r="A51" s="561">
        <v>16</v>
      </c>
      <c r="B51" s="547" t="s">
        <v>12</v>
      </c>
      <c r="C51" s="271" t="s">
        <v>122</v>
      </c>
      <c r="D51" s="272">
        <v>20972</v>
      </c>
      <c r="E51" s="272">
        <v>12168</v>
      </c>
      <c r="F51" s="272">
        <v>9199</v>
      </c>
      <c r="G51" s="272">
        <v>11346</v>
      </c>
      <c r="H51" s="272">
        <v>12942</v>
      </c>
      <c r="I51" s="272">
        <v>8720</v>
      </c>
      <c r="J51" s="272">
        <v>10329</v>
      </c>
      <c r="K51" s="272">
        <v>12085</v>
      </c>
      <c r="L51" s="272">
        <v>10385</v>
      </c>
      <c r="M51" s="272">
        <v>10815</v>
      </c>
      <c r="N51" s="280">
        <f>'Feb 13(2)'!AG22</f>
        <v>15369</v>
      </c>
      <c r="O51" s="273">
        <f t="shared" si="0"/>
        <v>134330</v>
      </c>
      <c r="R51" s="264"/>
    </row>
    <row r="52" spans="1:18" ht="18" customHeight="1">
      <c r="A52" s="562"/>
      <c r="B52" s="548"/>
      <c r="C52" s="257" t="s">
        <v>123</v>
      </c>
      <c r="D52" s="258">
        <v>12727</v>
      </c>
      <c r="E52" s="258">
        <v>8516</v>
      </c>
      <c r="F52" s="258">
        <v>1279</v>
      </c>
      <c r="G52" s="258">
        <v>2455</v>
      </c>
      <c r="H52" s="258">
        <v>2643</v>
      </c>
      <c r="I52" s="258">
        <v>6944</v>
      </c>
      <c r="J52" s="258">
        <v>14635</v>
      </c>
      <c r="K52" s="258">
        <v>18561</v>
      </c>
      <c r="L52" s="258">
        <v>22638</v>
      </c>
      <c r="M52" s="258">
        <v>23147</v>
      </c>
      <c r="N52" s="261">
        <f>'Feb 13(2)'!U22</f>
        <v>22150</v>
      </c>
      <c r="O52" s="274">
        <f t="shared" si="0"/>
        <v>135695</v>
      </c>
      <c r="R52" s="264"/>
    </row>
    <row r="53" spans="1:19" ht="18" customHeight="1" thickBot="1">
      <c r="A53" s="563"/>
      <c r="B53" s="549"/>
      <c r="C53" s="275" t="s">
        <v>124</v>
      </c>
      <c r="D53" s="276">
        <v>8245</v>
      </c>
      <c r="E53" s="276">
        <v>3652</v>
      </c>
      <c r="F53" s="276">
        <v>7920</v>
      </c>
      <c r="G53" s="276">
        <v>8891</v>
      </c>
      <c r="H53" s="276">
        <v>10299</v>
      </c>
      <c r="I53" s="276">
        <v>1776</v>
      </c>
      <c r="J53" s="276">
        <v>-4306</v>
      </c>
      <c r="K53" s="276">
        <v>-6476</v>
      </c>
      <c r="L53" s="276">
        <v>-12253</v>
      </c>
      <c r="M53" s="276">
        <v>-12332</v>
      </c>
      <c r="N53" s="276">
        <f>N51-N52</f>
        <v>-6781</v>
      </c>
      <c r="O53" s="277">
        <f t="shared" si="0"/>
        <v>-1365</v>
      </c>
      <c r="Q53" s="330"/>
      <c r="R53" s="330"/>
      <c r="S53" s="330"/>
    </row>
    <row r="54" spans="1:18" ht="18" customHeight="1">
      <c r="A54" s="561">
        <v>17</v>
      </c>
      <c r="B54" s="547" t="s">
        <v>69</v>
      </c>
      <c r="C54" s="271" t="s">
        <v>122</v>
      </c>
      <c r="D54" s="272">
        <v>84824</v>
      </c>
      <c r="E54" s="272">
        <v>5806</v>
      </c>
      <c r="F54" s="272">
        <v>79272</v>
      </c>
      <c r="G54" s="272">
        <v>88619</v>
      </c>
      <c r="H54" s="272">
        <v>99943</v>
      </c>
      <c r="I54" s="272">
        <v>86414</v>
      </c>
      <c r="J54" s="272">
        <v>90599</v>
      </c>
      <c r="K54" s="272">
        <v>37934</v>
      </c>
      <c r="L54" s="272">
        <v>50971</v>
      </c>
      <c r="M54" s="272">
        <v>44850</v>
      </c>
      <c r="N54" s="280">
        <f>'Feb 13(2)'!AG23</f>
        <v>54373</v>
      </c>
      <c r="O54" s="273">
        <f t="shared" si="0"/>
        <v>723605</v>
      </c>
      <c r="R54" s="264"/>
    </row>
    <row r="55" spans="1:18" ht="18" customHeight="1">
      <c r="A55" s="562"/>
      <c r="B55" s="548"/>
      <c r="C55" s="257" t="s">
        <v>123</v>
      </c>
      <c r="D55" s="258">
        <v>73387</v>
      </c>
      <c r="E55" s="258">
        <v>1575</v>
      </c>
      <c r="F55" s="258">
        <v>77137</v>
      </c>
      <c r="G55" s="258">
        <v>86398</v>
      </c>
      <c r="H55" s="258">
        <v>95769</v>
      </c>
      <c r="I55" s="258">
        <v>82605</v>
      </c>
      <c r="J55" s="258">
        <v>87410</v>
      </c>
      <c r="K55" s="258">
        <v>35609</v>
      </c>
      <c r="L55" s="258">
        <v>34792</v>
      </c>
      <c r="M55" s="258">
        <v>11846</v>
      </c>
      <c r="N55" s="261">
        <f>'Feb 13(2)'!U23</f>
        <v>20721</v>
      </c>
      <c r="O55" s="274">
        <f t="shared" si="0"/>
        <v>607249</v>
      </c>
      <c r="R55" s="264"/>
    </row>
    <row r="56" spans="1:18" ht="18" customHeight="1" thickBot="1">
      <c r="A56" s="563"/>
      <c r="B56" s="549"/>
      <c r="C56" s="275" t="s">
        <v>124</v>
      </c>
      <c r="D56" s="276">
        <v>11437</v>
      </c>
      <c r="E56" s="276">
        <v>4231</v>
      </c>
      <c r="F56" s="276">
        <v>2135</v>
      </c>
      <c r="G56" s="276">
        <v>2221</v>
      </c>
      <c r="H56" s="276">
        <v>4174</v>
      </c>
      <c r="I56" s="276">
        <v>3809</v>
      </c>
      <c r="J56" s="276">
        <v>3189</v>
      </c>
      <c r="K56" s="276">
        <v>2325</v>
      </c>
      <c r="L56" s="276">
        <v>16179</v>
      </c>
      <c r="M56" s="276">
        <v>33004</v>
      </c>
      <c r="N56" s="276">
        <f>N54-N55</f>
        <v>33652</v>
      </c>
      <c r="O56" s="277">
        <f t="shared" si="0"/>
        <v>116356</v>
      </c>
      <c r="R56" s="264"/>
    </row>
    <row r="57" spans="1:18" ht="18" customHeight="1">
      <c r="A57" s="561">
        <v>18</v>
      </c>
      <c r="B57" s="547" t="s">
        <v>37</v>
      </c>
      <c r="C57" s="271" t="s">
        <v>122</v>
      </c>
      <c r="D57" s="272">
        <v>53551</v>
      </c>
      <c r="E57" s="272">
        <v>49847</v>
      </c>
      <c r="F57" s="272">
        <v>50212</v>
      </c>
      <c r="G57" s="272">
        <v>71292</v>
      </c>
      <c r="H57" s="272">
        <v>79517</v>
      </c>
      <c r="I57" s="272">
        <v>71129</v>
      </c>
      <c r="J57" s="272">
        <v>56930</v>
      </c>
      <c r="K57" s="272">
        <v>34995</v>
      </c>
      <c r="L57" s="272">
        <v>46080</v>
      </c>
      <c r="M57" s="272">
        <v>46215</v>
      </c>
      <c r="N57" s="280">
        <f>'Feb 13(2)'!AG24</f>
        <v>42031</v>
      </c>
      <c r="O57" s="273">
        <f t="shared" si="0"/>
        <v>601799</v>
      </c>
      <c r="R57" s="264"/>
    </row>
    <row r="58" spans="1:18" ht="18" customHeight="1">
      <c r="A58" s="562"/>
      <c r="B58" s="548"/>
      <c r="C58" s="257" t="s">
        <v>123</v>
      </c>
      <c r="D58" s="258">
        <v>81884</v>
      </c>
      <c r="E58" s="258">
        <v>389713</v>
      </c>
      <c r="F58" s="258">
        <v>16260</v>
      </c>
      <c r="G58" s="258">
        <v>18176</v>
      </c>
      <c r="H58" s="258">
        <v>57276</v>
      </c>
      <c r="I58" s="258">
        <v>44638</v>
      </c>
      <c r="J58" s="258">
        <v>31972</v>
      </c>
      <c r="K58" s="258">
        <v>43058</v>
      </c>
      <c r="L58" s="258">
        <v>117924</v>
      </c>
      <c r="M58" s="258">
        <v>33681</v>
      </c>
      <c r="N58" s="261">
        <f>'Feb 13(2)'!U24</f>
        <v>43286</v>
      </c>
      <c r="O58" s="274">
        <f t="shared" si="0"/>
        <v>877868</v>
      </c>
      <c r="R58" s="264"/>
    </row>
    <row r="59" spans="1:18" ht="18" customHeight="1" thickBot="1">
      <c r="A59" s="563"/>
      <c r="B59" s="549"/>
      <c r="C59" s="275" t="s">
        <v>124</v>
      </c>
      <c r="D59" s="276">
        <v>-28333</v>
      </c>
      <c r="E59" s="428">
        <v>-339866</v>
      </c>
      <c r="F59" s="276">
        <v>33952</v>
      </c>
      <c r="G59" s="276">
        <v>53116</v>
      </c>
      <c r="H59" s="276">
        <v>22241</v>
      </c>
      <c r="I59" s="276">
        <v>26491</v>
      </c>
      <c r="J59" s="276">
        <v>24958</v>
      </c>
      <c r="K59" s="276">
        <v>-8063</v>
      </c>
      <c r="L59" s="276">
        <v>-71844</v>
      </c>
      <c r="M59" s="276">
        <v>12534</v>
      </c>
      <c r="N59" s="276">
        <f>N57-N58</f>
        <v>-1255</v>
      </c>
      <c r="O59" s="277">
        <f t="shared" si="0"/>
        <v>-276069</v>
      </c>
      <c r="R59" s="264"/>
    </row>
    <row r="60" spans="1:18" ht="18" customHeight="1">
      <c r="A60" s="561">
        <v>19</v>
      </c>
      <c r="B60" s="547" t="s">
        <v>70</v>
      </c>
      <c r="C60" s="271" t="s">
        <v>122</v>
      </c>
      <c r="D60" s="272">
        <v>111688</v>
      </c>
      <c r="E60" s="272">
        <v>80743</v>
      </c>
      <c r="F60" s="272">
        <v>76859</v>
      </c>
      <c r="G60" s="272">
        <v>90513</v>
      </c>
      <c r="H60" s="272">
        <v>83737</v>
      </c>
      <c r="I60" s="272">
        <v>73554</v>
      </c>
      <c r="J60" s="427">
        <v>143659</v>
      </c>
      <c r="K60" s="272">
        <v>26351</v>
      </c>
      <c r="L60" s="272">
        <v>38389</v>
      </c>
      <c r="M60" s="272">
        <v>43230</v>
      </c>
      <c r="N60" s="280">
        <f>'Feb 13(2)'!AG25</f>
        <v>45440</v>
      </c>
      <c r="O60" s="273">
        <f t="shared" si="0"/>
        <v>814163</v>
      </c>
      <c r="R60" s="264"/>
    </row>
    <row r="61" spans="1:18" ht="18" customHeight="1">
      <c r="A61" s="562"/>
      <c r="B61" s="548"/>
      <c r="C61" s="257" t="s">
        <v>123</v>
      </c>
      <c r="D61" s="258">
        <v>79677</v>
      </c>
      <c r="E61" s="258">
        <v>87395</v>
      </c>
      <c r="F61" s="258">
        <v>34905</v>
      </c>
      <c r="G61" s="258">
        <v>41839</v>
      </c>
      <c r="H61" s="258">
        <v>93347</v>
      </c>
      <c r="I61" s="258">
        <v>25140</v>
      </c>
      <c r="J61" s="258">
        <v>20406</v>
      </c>
      <c r="K61" s="258">
        <v>20525</v>
      </c>
      <c r="L61" s="258">
        <v>19565</v>
      </c>
      <c r="M61" s="258">
        <v>60091</v>
      </c>
      <c r="N61" s="261">
        <f>'Feb 13(2)'!U25</f>
        <v>15445</v>
      </c>
      <c r="O61" s="274">
        <f t="shared" si="0"/>
        <v>498335</v>
      </c>
      <c r="R61" s="264"/>
    </row>
    <row r="62" spans="1:18" ht="18" customHeight="1" thickBot="1">
      <c r="A62" s="563"/>
      <c r="B62" s="549"/>
      <c r="C62" s="275" t="s">
        <v>124</v>
      </c>
      <c r="D62" s="276">
        <v>32011</v>
      </c>
      <c r="E62" s="276">
        <v>-6652</v>
      </c>
      <c r="F62" s="276">
        <v>41954</v>
      </c>
      <c r="G62" s="276">
        <v>48674</v>
      </c>
      <c r="H62" s="276">
        <v>-9610</v>
      </c>
      <c r="I62" s="276">
        <v>48414</v>
      </c>
      <c r="J62" s="428">
        <v>123253</v>
      </c>
      <c r="K62" s="276">
        <v>5826</v>
      </c>
      <c r="L62" s="276">
        <v>18824</v>
      </c>
      <c r="M62" s="276">
        <v>-16861</v>
      </c>
      <c r="N62" s="276">
        <f>N60-N61</f>
        <v>29995</v>
      </c>
      <c r="O62" s="277">
        <f t="shared" si="0"/>
        <v>315828</v>
      </c>
      <c r="R62" s="264"/>
    </row>
    <row r="63" spans="1:18" ht="18" customHeight="1">
      <c r="A63" s="561">
        <v>20</v>
      </c>
      <c r="B63" s="547" t="s">
        <v>71</v>
      </c>
      <c r="C63" s="271" t="s">
        <v>122</v>
      </c>
      <c r="D63" s="272">
        <v>96300</v>
      </c>
      <c r="E63" s="272">
        <v>84250</v>
      </c>
      <c r="F63" s="272">
        <v>89825</v>
      </c>
      <c r="G63" s="272">
        <v>93990</v>
      </c>
      <c r="H63" s="272">
        <v>96372</v>
      </c>
      <c r="I63" s="272">
        <v>102735</v>
      </c>
      <c r="J63" s="272">
        <v>88170</v>
      </c>
      <c r="K63" s="272">
        <v>52275</v>
      </c>
      <c r="L63" s="272">
        <v>56371</v>
      </c>
      <c r="M63" s="272">
        <v>51353</v>
      </c>
      <c r="N63" s="280">
        <f>'Feb 13(2)'!AG26</f>
        <v>59270</v>
      </c>
      <c r="O63" s="273">
        <f t="shared" si="0"/>
        <v>870911</v>
      </c>
      <c r="R63" s="264"/>
    </row>
    <row r="64" spans="1:18" ht="18" customHeight="1">
      <c r="A64" s="562"/>
      <c r="B64" s="548"/>
      <c r="C64" s="257" t="s">
        <v>123</v>
      </c>
      <c r="D64" s="258">
        <v>84847</v>
      </c>
      <c r="E64" s="258">
        <v>70344</v>
      </c>
      <c r="F64" s="258">
        <v>83738</v>
      </c>
      <c r="G64" s="258">
        <v>79842</v>
      </c>
      <c r="H64" s="258">
        <v>85244</v>
      </c>
      <c r="I64" s="258">
        <v>91445</v>
      </c>
      <c r="J64" s="258">
        <v>63725</v>
      </c>
      <c r="K64" s="258">
        <v>34936</v>
      </c>
      <c r="L64" s="258">
        <v>46395</v>
      </c>
      <c r="M64" s="258">
        <v>2244</v>
      </c>
      <c r="N64" s="261">
        <f>'Feb 13(2)'!U26</f>
        <v>3191</v>
      </c>
      <c r="O64" s="274">
        <f t="shared" si="0"/>
        <v>645951</v>
      </c>
      <c r="R64" s="264"/>
    </row>
    <row r="65" spans="1:18" ht="18" customHeight="1" thickBot="1">
      <c r="A65" s="563"/>
      <c r="B65" s="549"/>
      <c r="C65" s="275" t="s">
        <v>124</v>
      </c>
      <c r="D65" s="276">
        <v>11453</v>
      </c>
      <c r="E65" s="276">
        <v>13906</v>
      </c>
      <c r="F65" s="276">
        <v>6087</v>
      </c>
      <c r="G65" s="276">
        <v>14148</v>
      </c>
      <c r="H65" s="276">
        <v>11128</v>
      </c>
      <c r="I65" s="276">
        <v>11290</v>
      </c>
      <c r="J65" s="276">
        <v>24445</v>
      </c>
      <c r="K65" s="276">
        <v>17339</v>
      </c>
      <c r="L65" s="276">
        <v>9976</v>
      </c>
      <c r="M65" s="276">
        <v>49109</v>
      </c>
      <c r="N65" s="276">
        <f>N63-N64</f>
        <v>56079</v>
      </c>
      <c r="O65" s="277">
        <f t="shared" si="0"/>
        <v>224960</v>
      </c>
      <c r="R65" s="264"/>
    </row>
    <row r="66" spans="1:18" ht="18" customHeight="1">
      <c r="A66" s="561">
        <v>21</v>
      </c>
      <c r="B66" s="547" t="s">
        <v>72</v>
      </c>
      <c r="C66" s="271" t="s">
        <v>122</v>
      </c>
      <c r="D66" s="272">
        <v>26491</v>
      </c>
      <c r="E66" s="272">
        <v>9032</v>
      </c>
      <c r="F66" s="272">
        <v>44654</v>
      </c>
      <c r="G66" s="272">
        <v>3447</v>
      </c>
      <c r="H66" s="272">
        <v>17458</v>
      </c>
      <c r="I66" s="272">
        <v>24616</v>
      </c>
      <c r="J66" s="272">
        <v>20536</v>
      </c>
      <c r="K66" s="272">
        <v>5356</v>
      </c>
      <c r="L66" s="272">
        <v>15518</v>
      </c>
      <c r="M66" s="272">
        <v>14028</v>
      </c>
      <c r="N66" s="280">
        <f>'Feb 13(2)'!AG27</f>
        <v>13529</v>
      </c>
      <c r="O66" s="273">
        <f t="shared" si="0"/>
        <v>194665</v>
      </c>
      <c r="R66" s="264"/>
    </row>
    <row r="67" spans="1:18" ht="18" customHeight="1">
      <c r="A67" s="562"/>
      <c r="B67" s="548"/>
      <c r="C67" s="257" t="s">
        <v>123</v>
      </c>
      <c r="D67" s="258">
        <v>17483</v>
      </c>
      <c r="E67" s="258">
        <v>13184</v>
      </c>
      <c r="F67" s="258">
        <v>22932</v>
      </c>
      <c r="G67" s="258">
        <v>0</v>
      </c>
      <c r="H67" s="258">
        <v>10622</v>
      </c>
      <c r="I67" s="258">
        <v>25696</v>
      </c>
      <c r="J67" s="258">
        <v>18588</v>
      </c>
      <c r="K67" s="258">
        <v>37608</v>
      </c>
      <c r="L67" s="258">
        <v>14639</v>
      </c>
      <c r="M67" s="258">
        <v>36226</v>
      </c>
      <c r="N67" s="261">
        <f>'Feb 13(2)'!U27</f>
        <v>13562</v>
      </c>
      <c r="O67" s="274">
        <f t="shared" si="0"/>
        <v>210540</v>
      </c>
      <c r="Q67" s="264"/>
      <c r="R67" s="264"/>
    </row>
    <row r="68" spans="1:18" ht="18" customHeight="1" thickBot="1">
      <c r="A68" s="563"/>
      <c r="B68" s="549"/>
      <c r="C68" s="275" t="s">
        <v>124</v>
      </c>
      <c r="D68" s="276">
        <v>9008</v>
      </c>
      <c r="E68" s="276">
        <v>-4152</v>
      </c>
      <c r="F68" s="276">
        <v>21722</v>
      </c>
      <c r="G68" s="276">
        <v>3447</v>
      </c>
      <c r="H68" s="276">
        <v>6836</v>
      </c>
      <c r="I68" s="276">
        <v>-1080</v>
      </c>
      <c r="J68" s="276">
        <v>1948</v>
      </c>
      <c r="K68" s="276">
        <v>-32252</v>
      </c>
      <c r="L68" s="276">
        <v>879</v>
      </c>
      <c r="M68" s="276">
        <v>-22198</v>
      </c>
      <c r="N68" s="276">
        <f>N66-N67</f>
        <v>-33</v>
      </c>
      <c r="O68" s="277">
        <f t="shared" si="0"/>
        <v>-15875</v>
      </c>
      <c r="R68" s="264"/>
    </row>
    <row r="69" spans="1:18" ht="18" customHeight="1">
      <c r="A69" s="561">
        <v>22</v>
      </c>
      <c r="B69" s="547" t="s">
        <v>7</v>
      </c>
      <c r="C69" s="271" t="s">
        <v>122</v>
      </c>
      <c r="D69" s="272">
        <v>0</v>
      </c>
      <c r="E69" s="272">
        <v>5001</v>
      </c>
      <c r="F69" s="272">
        <v>7414</v>
      </c>
      <c r="G69" s="272">
        <v>72295</v>
      </c>
      <c r="H69" s="272">
        <v>80210</v>
      </c>
      <c r="I69" s="272">
        <v>72859</v>
      </c>
      <c r="J69" s="272">
        <v>10879</v>
      </c>
      <c r="K69" s="272">
        <v>49794</v>
      </c>
      <c r="L69" s="272">
        <v>20639</v>
      </c>
      <c r="M69" s="272">
        <v>14900</v>
      </c>
      <c r="N69" s="280">
        <f>'Feb 13(2)'!AG28</f>
        <v>91333</v>
      </c>
      <c r="O69" s="273">
        <f t="shared" si="0"/>
        <v>425324</v>
      </c>
      <c r="R69" s="264"/>
    </row>
    <row r="70" spans="1:18" ht="18" customHeight="1">
      <c r="A70" s="562"/>
      <c r="B70" s="548"/>
      <c r="C70" s="257" t="s">
        <v>123</v>
      </c>
      <c r="D70" s="258">
        <v>49869</v>
      </c>
      <c r="E70" s="258">
        <v>5679</v>
      </c>
      <c r="F70" s="258">
        <v>7267</v>
      </c>
      <c r="G70" s="258">
        <v>9485</v>
      </c>
      <c r="H70" s="258">
        <v>9226</v>
      </c>
      <c r="I70" s="258">
        <v>8303</v>
      </c>
      <c r="J70" s="258">
        <v>8818</v>
      </c>
      <c r="K70" s="258">
        <v>8361</v>
      </c>
      <c r="L70" s="258">
        <v>8684</v>
      </c>
      <c r="M70" s="258">
        <v>4484</v>
      </c>
      <c r="N70" s="261">
        <f>'Feb 13(2)'!U28</f>
        <v>10619</v>
      </c>
      <c r="O70" s="274">
        <f t="shared" si="0"/>
        <v>130795</v>
      </c>
      <c r="R70" s="264"/>
    </row>
    <row r="71" spans="1:18" ht="18" customHeight="1" thickBot="1">
      <c r="A71" s="563"/>
      <c r="B71" s="549"/>
      <c r="C71" s="275" t="s">
        <v>124</v>
      </c>
      <c r="D71" s="276">
        <v>-49869</v>
      </c>
      <c r="E71" s="276">
        <v>-678</v>
      </c>
      <c r="F71" s="276">
        <v>147</v>
      </c>
      <c r="G71" s="276">
        <v>62810</v>
      </c>
      <c r="H71" s="276">
        <v>70984</v>
      </c>
      <c r="I71" s="276">
        <v>64556</v>
      </c>
      <c r="J71" s="276">
        <v>2061</v>
      </c>
      <c r="K71" s="276">
        <v>41433</v>
      </c>
      <c r="L71" s="276">
        <v>11955</v>
      </c>
      <c r="M71" s="276">
        <v>10416</v>
      </c>
      <c r="N71" s="276">
        <f>N69-N70</f>
        <v>80714</v>
      </c>
      <c r="O71" s="277">
        <f aca="true" t="shared" si="1" ref="O71:O81">SUM(D71:N71)</f>
        <v>294529</v>
      </c>
      <c r="R71" s="264"/>
    </row>
    <row r="72" spans="1:18" ht="18" customHeight="1">
      <c r="A72" s="561">
        <v>23</v>
      </c>
      <c r="B72" s="547" t="s">
        <v>8</v>
      </c>
      <c r="C72" s="271" t="s">
        <v>122</v>
      </c>
      <c r="D72" s="272">
        <v>87864</v>
      </c>
      <c r="E72" s="272">
        <v>101081</v>
      </c>
      <c r="F72" s="272">
        <v>84936</v>
      </c>
      <c r="G72" s="272">
        <v>93343</v>
      </c>
      <c r="H72" s="272">
        <v>103802</v>
      </c>
      <c r="I72" s="272">
        <v>90542</v>
      </c>
      <c r="J72" s="272">
        <v>83818</v>
      </c>
      <c r="K72" s="272">
        <v>33921</v>
      </c>
      <c r="L72" s="272">
        <v>58075</v>
      </c>
      <c r="M72" s="272">
        <v>64329</v>
      </c>
      <c r="N72" s="280">
        <f>'Feb 13(2)'!AG29</f>
        <v>66883</v>
      </c>
      <c r="O72" s="273">
        <f t="shared" si="1"/>
        <v>868594</v>
      </c>
      <c r="R72" s="264"/>
    </row>
    <row r="73" spans="1:18" ht="18" customHeight="1">
      <c r="A73" s="562"/>
      <c r="B73" s="548"/>
      <c r="C73" s="257" t="s">
        <v>123</v>
      </c>
      <c r="D73" s="258">
        <v>51746</v>
      </c>
      <c r="E73" s="258">
        <v>73496</v>
      </c>
      <c r="F73" s="258">
        <v>49462</v>
      </c>
      <c r="G73" s="258">
        <v>83769</v>
      </c>
      <c r="H73" s="258">
        <v>62683</v>
      </c>
      <c r="I73" s="258">
        <v>82068</v>
      </c>
      <c r="J73" s="258">
        <v>91484</v>
      </c>
      <c r="K73" s="258">
        <v>49961</v>
      </c>
      <c r="L73" s="258">
        <v>57732</v>
      </c>
      <c r="M73" s="258">
        <v>59449</v>
      </c>
      <c r="N73" s="261">
        <f>'Feb 13(2)'!U29</f>
        <v>54375</v>
      </c>
      <c r="O73" s="274">
        <f t="shared" si="1"/>
        <v>716225</v>
      </c>
      <c r="R73" s="264"/>
    </row>
    <row r="74" spans="1:18" ht="18" customHeight="1" thickBot="1">
      <c r="A74" s="563"/>
      <c r="B74" s="549"/>
      <c r="C74" s="275" t="s">
        <v>124</v>
      </c>
      <c r="D74" s="276">
        <v>36118</v>
      </c>
      <c r="E74" s="276">
        <v>27585</v>
      </c>
      <c r="F74" s="276">
        <v>35474</v>
      </c>
      <c r="G74" s="276">
        <v>9574</v>
      </c>
      <c r="H74" s="276">
        <v>41119</v>
      </c>
      <c r="I74" s="276">
        <v>8474</v>
      </c>
      <c r="J74" s="276">
        <v>-7666</v>
      </c>
      <c r="K74" s="276">
        <v>-16040</v>
      </c>
      <c r="L74" s="276">
        <v>343</v>
      </c>
      <c r="M74" s="276">
        <v>4880</v>
      </c>
      <c r="N74" s="276">
        <f>N72-N73</f>
        <v>12508</v>
      </c>
      <c r="O74" s="277">
        <f t="shared" si="1"/>
        <v>152369</v>
      </c>
      <c r="R74" s="264"/>
    </row>
    <row r="75" spans="1:18" ht="18" customHeight="1">
      <c r="A75" s="561">
        <v>24</v>
      </c>
      <c r="B75" s="547" t="s">
        <v>40</v>
      </c>
      <c r="C75" s="271" t="s">
        <v>122</v>
      </c>
      <c r="D75" s="272">
        <v>24309</v>
      </c>
      <c r="E75" s="272">
        <v>16538</v>
      </c>
      <c r="F75" s="272">
        <v>6024</v>
      </c>
      <c r="G75" s="272">
        <v>5586</v>
      </c>
      <c r="H75" s="272">
        <v>4345</v>
      </c>
      <c r="I75" s="272">
        <v>7195</v>
      </c>
      <c r="J75" s="272">
        <v>1318</v>
      </c>
      <c r="K75" s="272">
        <v>0</v>
      </c>
      <c r="L75" s="272">
        <v>11327</v>
      </c>
      <c r="M75" s="272">
        <v>15915</v>
      </c>
      <c r="N75" s="280">
        <f>'Feb 13(2)'!AG30</f>
        <v>11830</v>
      </c>
      <c r="O75" s="273">
        <f t="shared" si="1"/>
        <v>104387</v>
      </c>
      <c r="R75" s="264"/>
    </row>
    <row r="76" spans="1:18" ht="18" customHeight="1">
      <c r="A76" s="562"/>
      <c r="B76" s="548"/>
      <c r="C76" s="257" t="s">
        <v>123</v>
      </c>
      <c r="D76" s="258">
        <v>2803</v>
      </c>
      <c r="E76" s="258">
        <v>13904</v>
      </c>
      <c r="F76" s="258">
        <v>0</v>
      </c>
      <c r="G76" s="258">
        <v>0</v>
      </c>
      <c r="H76" s="258">
        <v>0</v>
      </c>
      <c r="I76" s="258">
        <v>6998</v>
      </c>
      <c r="J76" s="258">
        <v>6998</v>
      </c>
      <c r="K76" s="258">
        <v>15478</v>
      </c>
      <c r="L76" s="258">
        <v>15478</v>
      </c>
      <c r="M76" s="258">
        <v>15478</v>
      </c>
      <c r="N76" s="261">
        <f>'Feb 13(2)'!U30</f>
        <v>15478</v>
      </c>
      <c r="O76" s="274">
        <f t="shared" si="1"/>
        <v>92615</v>
      </c>
      <c r="R76" s="264"/>
    </row>
    <row r="77" spans="1:18" ht="18" customHeight="1" thickBot="1">
      <c r="A77" s="563"/>
      <c r="B77" s="549"/>
      <c r="C77" s="275" t="s">
        <v>124</v>
      </c>
      <c r="D77" s="276">
        <v>21506</v>
      </c>
      <c r="E77" s="276">
        <v>2634</v>
      </c>
      <c r="F77" s="276">
        <v>6024</v>
      </c>
      <c r="G77" s="276">
        <v>5586</v>
      </c>
      <c r="H77" s="276">
        <v>4345</v>
      </c>
      <c r="I77" s="276">
        <v>197</v>
      </c>
      <c r="J77" s="276">
        <v>-5680</v>
      </c>
      <c r="K77" s="276">
        <v>-15478</v>
      </c>
      <c r="L77" s="276">
        <v>-4151</v>
      </c>
      <c r="M77" s="276">
        <v>437</v>
      </c>
      <c r="N77" s="276">
        <f>N75-N76</f>
        <v>-3648</v>
      </c>
      <c r="O77" s="277">
        <f t="shared" si="1"/>
        <v>11772</v>
      </c>
      <c r="R77" s="264"/>
    </row>
    <row r="78" spans="1:18" ht="18" customHeight="1">
      <c r="A78" s="561">
        <v>25</v>
      </c>
      <c r="B78" s="547" t="s">
        <v>9</v>
      </c>
      <c r="C78" s="271" t="s">
        <v>122</v>
      </c>
      <c r="D78" s="272">
        <v>11683</v>
      </c>
      <c r="E78" s="272">
        <v>15663</v>
      </c>
      <c r="F78" s="272">
        <v>12180</v>
      </c>
      <c r="G78" s="272">
        <v>13542</v>
      </c>
      <c r="H78" s="272">
        <v>12730</v>
      </c>
      <c r="I78" s="272">
        <v>10695</v>
      </c>
      <c r="J78" s="272">
        <v>11179</v>
      </c>
      <c r="K78" s="272">
        <v>4794</v>
      </c>
      <c r="L78" s="272">
        <v>7588</v>
      </c>
      <c r="M78" s="272">
        <v>10318</v>
      </c>
      <c r="N78" s="280">
        <f>'Feb 13(2)'!AG31</f>
        <v>7796</v>
      </c>
      <c r="O78" s="273">
        <f t="shared" si="1"/>
        <v>118168</v>
      </c>
      <c r="R78" s="264"/>
    </row>
    <row r="79" spans="1:18" ht="18" customHeight="1">
      <c r="A79" s="562"/>
      <c r="B79" s="548"/>
      <c r="C79" s="257" t="s">
        <v>123</v>
      </c>
      <c r="D79" s="258">
        <v>32162</v>
      </c>
      <c r="E79" s="258">
        <v>5198</v>
      </c>
      <c r="F79" s="258">
        <v>11235</v>
      </c>
      <c r="G79" s="258">
        <v>18965</v>
      </c>
      <c r="H79" s="258">
        <v>40137</v>
      </c>
      <c r="I79" s="258">
        <v>61385</v>
      </c>
      <c r="J79" s="258">
        <v>15269</v>
      </c>
      <c r="K79" s="258">
        <v>15728</v>
      </c>
      <c r="L79" s="258">
        <v>2891</v>
      </c>
      <c r="M79" s="258">
        <v>25740</v>
      </c>
      <c r="N79" s="261">
        <f>'Feb 13(2)'!U31</f>
        <v>12267</v>
      </c>
      <c r="O79" s="274">
        <f t="shared" si="1"/>
        <v>240977</v>
      </c>
      <c r="Q79" s="264"/>
      <c r="R79" s="264"/>
    </row>
    <row r="80" spans="1:18" ht="18" customHeight="1" thickBot="1">
      <c r="A80" s="563"/>
      <c r="B80" s="549"/>
      <c r="C80" s="275" t="s">
        <v>124</v>
      </c>
      <c r="D80" s="276">
        <v>-20479</v>
      </c>
      <c r="E80" s="276">
        <v>10465</v>
      </c>
      <c r="F80" s="276">
        <v>945</v>
      </c>
      <c r="G80" s="276">
        <v>-5423</v>
      </c>
      <c r="H80" s="276">
        <v>-27407</v>
      </c>
      <c r="I80" s="276">
        <v>-50690</v>
      </c>
      <c r="J80" s="276">
        <v>-4090</v>
      </c>
      <c r="K80" s="276">
        <v>-10934</v>
      </c>
      <c r="L80" s="276">
        <v>4697</v>
      </c>
      <c r="M80" s="276">
        <v>-15422</v>
      </c>
      <c r="N80" s="276">
        <f>N78-N79</f>
        <v>-4471</v>
      </c>
      <c r="O80" s="277">
        <f t="shared" si="1"/>
        <v>-122809</v>
      </c>
      <c r="R80" s="264"/>
    </row>
    <row r="81" spans="1:18" ht="18" customHeight="1">
      <c r="A81" s="561">
        <v>26</v>
      </c>
      <c r="B81" s="547" t="s">
        <v>10</v>
      </c>
      <c r="C81" s="271" t="s">
        <v>122</v>
      </c>
      <c r="D81" s="272">
        <v>4032</v>
      </c>
      <c r="E81" s="272">
        <v>4530</v>
      </c>
      <c r="F81" s="272">
        <v>4144</v>
      </c>
      <c r="G81" s="272">
        <v>5788</v>
      </c>
      <c r="H81" s="272">
        <v>5441</v>
      </c>
      <c r="I81" s="272">
        <v>0</v>
      </c>
      <c r="J81" s="272">
        <v>0</v>
      </c>
      <c r="K81" s="272">
        <v>0</v>
      </c>
      <c r="L81" s="272">
        <v>0</v>
      </c>
      <c r="M81" s="272">
        <v>497</v>
      </c>
      <c r="N81" s="280">
        <f>'Feb 13(2)'!AG32</f>
        <v>0</v>
      </c>
      <c r="O81" s="273">
        <f t="shared" si="1"/>
        <v>24432</v>
      </c>
      <c r="Q81" s="264"/>
      <c r="R81" s="264"/>
    </row>
    <row r="82" spans="1:18" ht="18" customHeight="1">
      <c r="A82" s="562"/>
      <c r="B82" s="548"/>
      <c r="C82" s="257" t="s">
        <v>123</v>
      </c>
      <c r="D82" s="258">
        <v>902</v>
      </c>
      <c r="E82" s="258">
        <v>921</v>
      </c>
      <c r="F82" s="258">
        <v>902</v>
      </c>
      <c r="G82" s="258">
        <v>941</v>
      </c>
      <c r="H82" s="258">
        <v>870</v>
      </c>
      <c r="I82" s="258">
        <v>18190</v>
      </c>
      <c r="J82" s="258">
        <v>31893</v>
      </c>
      <c r="K82" s="258">
        <v>47728</v>
      </c>
      <c r="L82" s="258">
        <v>5775</v>
      </c>
      <c r="M82" s="258">
        <v>704</v>
      </c>
      <c r="N82" s="261">
        <f>'Feb 13(2)'!U32</f>
        <v>17495</v>
      </c>
      <c r="O82" s="274">
        <f>SUM(D82:N82)</f>
        <v>126321</v>
      </c>
      <c r="Q82" s="264"/>
      <c r="R82" s="354"/>
    </row>
    <row r="83" spans="1:18" ht="18" customHeight="1" thickBot="1">
      <c r="A83" s="563"/>
      <c r="B83" s="549"/>
      <c r="C83" s="275" t="s">
        <v>124</v>
      </c>
      <c r="D83" s="276">
        <v>3130</v>
      </c>
      <c r="E83" s="276">
        <v>3609</v>
      </c>
      <c r="F83" s="276">
        <v>3242</v>
      </c>
      <c r="G83" s="276">
        <v>4847</v>
      </c>
      <c r="H83" s="66">
        <v>4571</v>
      </c>
      <c r="I83" s="66">
        <v>-18190</v>
      </c>
      <c r="J83" s="66">
        <v>-31893</v>
      </c>
      <c r="K83" s="66">
        <v>-47728</v>
      </c>
      <c r="L83" s="66">
        <v>-5775</v>
      </c>
      <c r="M83" s="66">
        <v>-207</v>
      </c>
      <c r="N83" s="276">
        <f>N81-N82</f>
        <v>-17495</v>
      </c>
      <c r="O83" s="277">
        <f>SUM(D83:N83)</f>
        <v>-101889</v>
      </c>
      <c r="Q83" s="264"/>
      <c r="R83" s="264"/>
    </row>
    <row r="84" spans="1:18" s="265" customFormat="1" ht="18" customHeight="1">
      <c r="A84" s="566"/>
      <c r="B84" s="550" t="s">
        <v>11</v>
      </c>
      <c r="C84" s="271" t="s">
        <v>122</v>
      </c>
      <c r="D84" s="444">
        <f aca="true" t="shared" si="2" ref="D84:H85">D6+D9+D12+D15+D18+D21+D24+D27+D30+D33+D36+D39+D42+D45+D48+D51+D54+D57+D60+D63+D66+D69+D72+D75+D78+D81</f>
        <v>1809007</v>
      </c>
      <c r="E84" s="427">
        <f t="shared" si="2"/>
        <v>1371409</v>
      </c>
      <c r="F84" s="444">
        <f t="shared" si="2"/>
        <v>1427641</v>
      </c>
      <c r="G84" s="444">
        <f t="shared" si="2"/>
        <v>1378467</v>
      </c>
      <c r="H84" s="427">
        <f t="shared" si="2"/>
        <v>1494783</v>
      </c>
      <c r="I84" s="427">
        <v>1411495</v>
      </c>
      <c r="J84" s="444">
        <v>1208260</v>
      </c>
      <c r="K84" s="272">
        <v>716912</v>
      </c>
      <c r="L84" s="272">
        <v>913189</v>
      </c>
      <c r="M84" s="427">
        <v>973101</v>
      </c>
      <c r="N84" s="272">
        <f>N6+N9+N12+N15+N18+N21+N24+N27+N30+N33+N36+N39+N42+N45+N48+N51+N54+N57+N60+N63+N66+N69+N72+N75+N78+N81</f>
        <v>943540</v>
      </c>
      <c r="O84" s="273">
        <f>SUM(D84:N84)</f>
        <v>13647804</v>
      </c>
      <c r="R84" s="410"/>
    </row>
    <row r="85" spans="1:15" s="265" customFormat="1" ht="18" customHeight="1">
      <c r="A85" s="567"/>
      <c r="B85" s="551"/>
      <c r="C85" s="257" t="s">
        <v>123</v>
      </c>
      <c r="D85" s="445">
        <f t="shared" si="2"/>
        <v>2167773</v>
      </c>
      <c r="E85" s="323">
        <f t="shared" si="2"/>
        <v>1393928</v>
      </c>
      <c r="F85" s="445">
        <f t="shared" si="2"/>
        <v>767651</v>
      </c>
      <c r="G85" s="258">
        <f t="shared" si="2"/>
        <v>696601</v>
      </c>
      <c r="H85" s="258">
        <f t="shared" si="2"/>
        <v>912765</v>
      </c>
      <c r="I85" s="258">
        <v>956538</v>
      </c>
      <c r="J85" s="445">
        <v>769937</v>
      </c>
      <c r="K85" s="258">
        <v>747483</v>
      </c>
      <c r="L85" s="258">
        <v>734784</v>
      </c>
      <c r="M85" s="323">
        <v>604745</v>
      </c>
      <c r="N85" s="258">
        <f>N7+N10+N13+N16+N19+N22+N25+N28+N31+N34+N37+N40+N43+N46+N49+N52+N55+N58+N61+N64+N67+N70+N73+N76+N79+N82</f>
        <v>455268</v>
      </c>
      <c r="O85" s="274">
        <f>SUM(D85:N85)</f>
        <v>10207473</v>
      </c>
    </row>
    <row r="86" spans="1:15" s="265" customFormat="1" ht="18" customHeight="1" thickBot="1">
      <c r="A86" s="568"/>
      <c r="B86" s="552"/>
      <c r="C86" s="275" t="s">
        <v>124</v>
      </c>
      <c r="D86" s="428">
        <f>D84-D85</f>
        <v>-358766</v>
      </c>
      <c r="E86" s="276">
        <f>E84-E85</f>
        <v>-22519</v>
      </c>
      <c r="F86" s="447">
        <f>F84-F85</f>
        <v>659990</v>
      </c>
      <c r="G86" s="276">
        <f>G84-G85</f>
        <v>681866</v>
      </c>
      <c r="H86" s="276">
        <v>582018</v>
      </c>
      <c r="I86" s="276">
        <v>454957</v>
      </c>
      <c r="J86" s="447">
        <v>438323</v>
      </c>
      <c r="K86" s="276">
        <v>-30571</v>
      </c>
      <c r="L86" s="276">
        <v>178405</v>
      </c>
      <c r="M86" s="428">
        <v>368356</v>
      </c>
      <c r="N86" s="276">
        <f>N84-N85</f>
        <v>488272</v>
      </c>
      <c r="O86" s="277">
        <f>SUM(D86:N86)</f>
        <v>3440331</v>
      </c>
    </row>
    <row r="87" spans="1:15" ht="15">
      <c r="A87" s="541" t="s">
        <v>149</v>
      </c>
      <c r="B87" s="542"/>
      <c r="C87" s="278" t="s">
        <v>122</v>
      </c>
      <c r="D87" s="404">
        <v>1.809007</v>
      </c>
      <c r="E87" s="404">
        <v>1.371409</v>
      </c>
      <c r="F87" s="404">
        <v>1.473113</v>
      </c>
      <c r="G87" s="404">
        <v>1.378467</v>
      </c>
      <c r="H87" s="404">
        <v>1.476613482053</v>
      </c>
      <c r="I87" s="404">
        <v>1.411495</v>
      </c>
      <c r="J87" s="404">
        <v>1.20826</v>
      </c>
      <c r="K87" s="404">
        <v>0.716912</v>
      </c>
      <c r="L87" s="404">
        <v>0.913189</v>
      </c>
      <c r="M87" s="404">
        <v>0.973101</v>
      </c>
      <c r="N87" s="296">
        <f aca="true" t="shared" si="3" ref="N87:O89">N84/1000000</f>
        <v>0.94354</v>
      </c>
      <c r="O87" s="297">
        <f t="shared" si="3"/>
        <v>13.647804</v>
      </c>
    </row>
    <row r="88" spans="1:15" ht="15">
      <c r="A88" s="543"/>
      <c r="B88" s="544"/>
      <c r="C88" s="259" t="s">
        <v>123</v>
      </c>
      <c r="D88" s="406">
        <v>2.167773</v>
      </c>
      <c r="E88" s="406">
        <v>1.393928</v>
      </c>
      <c r="F88" s="406">
        <v>0.813123</v>
      </c>
      <c r="G88" s="406">
        <v>0.696601</v>
      </c>
      <c r="H88" s="406">
        <v>0.900035</v>
      </c>
      <c r="I88" s="406">
        <v>0.956538</v>
      </c>
      <c r="J88" s="406">
        <v>0.769937</v>
      </c>
      <c r="K88" s="406">
        <v>0.747483</v>
      </c>
      <c r="L88" s="406">
        <v>0.734784</v>
      </c>
      <c r="M88" s="406">
        <v>0.604745</v>
      </c>
      <c r="N88" s="184">
        <f t="shared" si="3"/>
        <v>0.455268</v>
      </c>
      <c r="O88" s="298">
        <f t="shared" si="3"/>
        <v>10.207473</v>
      </c>
    </row>
    <row r="89" spans="1:15" ht="15.75" thickBot="1">
      <c r="A89" s="545"/>
      <c r="B89" s="546"/>
      <c r="C89" s="279" t="s">
        <v>124</v>
      </c>
      <c r="D89" s="408">
        <v>-0.358766</v>
      </c>
      <c r="E89" s="408">
        <v>-0.022519</v>
      </c>
      <c r="F89" s="408">
        <v>0.65999</v>
      </c>
      <c r="G89" s="408">
        <v>0.681866</v>
      </c>
      <c r="H89" s="408">
        <v>0.576578482053</v>
      </c>
      <c r="I89" s="408">
        <v>0.454957</v>
      </c>
      <c r="J89" s="408">
        <v>0.438323</v>
      </c>
      <c r="K89" s="408">
        <v>-0.030571</v>
      </c>
      <c r="L89" s="408">
        <v>0.178405</v>
      </c>
      <c r="M89" s="408">
        <v>0.368356</v>
      </c>
      <c r="N89" s="299">
        <f t="shared" si="3"/>
        <v>0.488272</v>
      </c>
      <c r="O89" s="300">
        <f t="shared" si="3"/>
        <v>3.440331</v>
      </c>
    </row>
    <row r="90" spans="1:15" ht="15">
      <c r="A90" s="134"/>
      <c r="N90" s="134"/>
      <c r="O90" s="134"/>
    </row>
    <row r="91" ht="15" customHeight="1"/>
    <row r="92" ht="15" customHeight="1">
      <c r="P92" s="353"/>
    </row>
    <row r="93" spans="14:17" ht="15" customHeight="1">
      <c r="N93" s="146"/>
      <c r="O93" s="263"/>
      <c r="Q93" s="264"/>
    </row>
    <row r="94" spans="14:17" ht="15" customHeight="1">
      <c r="N94" s="146"/>
      <c r="O94" s="263"/>
      <c r="Q94" s="264"/>
    </row>
    <row r="95" spans="2:15" ht="15" customHeight="1"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146"/>
      <c r="O95" s="263"/>
    </row>
    <row r="96" spans="2:15" ht="15"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</row>
    <row r="97" spans="2:15" ht="15"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  <c r="O97" s="263"/>
    </row>
    <row r="98" spans="2:15" ht="15"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  <c r="O98" s="263"/>
    </row>
    <row r="99" spans="2:15" ht="15"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  <c r="O99" s="263"/>
    </row>
    <row r="100" spans="2:15" ht="15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  <c r="O100" s="263"/>
    </row>
    <row r="101" spans="2:15" ht="15"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</row>
    <row r="102" spans="14:15" ht="15">
      <c r="N102" s="263"/>
      <c r="O102" s="263"/>
    </row>
  </sheetData>
  <sheetProtection/>
  <mergeCells count="55">
    <mergeCell ref="A54:A56"/>
    <mergeCell ref="A57:A59"/>
    <mergeCell ref="A78:A80"/>
    <mergeCell ref="A81:A83"/>
    <mergeCell ref="A60:A62"/>
    <mergeCell ref="A63:A65"/>
    <mergeCell ref="A66:A68"/>
    <mergeCell ref="A69:A71"/>
    <mergeCell ref="A72:A74"/>
    <mergeCell ref="A75:A77"/>
    <mergeCell ref="A42:A44"/>
    <mergeCell ref="A45:A47"/>
    <mergeCell ref="A48:A50"/>
    <mergeCell ref="A51:A53"/>
    <mergeCell ref="A30:A32"/>
    <mergeCell ref="A33:A35"/>
    <mergeCell ref="A36:A38"/>
    <mergeCell ref="A39:A41"/>
    <mergeCell ref="A18:A20"/>
    <mergeCell ref="A21:A23"/>
    <mergeCell ref="A24:A26"/>
    <mergeCell ref="A27:A29"/>
    <mergeCell ref="A6:A8"/>
    <mergeCell ref="A9:A11"/>
    <mergeCell ref="A12:A14"/>
    <mergeCell ref="A15:A17"/>
    <mergeCell ref="B36:B38"/>
    <mergeCell ref="B39:B41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72:B74"/>
    <mergeCell ref="B75:B77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A87:B89"/>
    <mergeCell ref="B78:B80"/>
    <mergeCell ref="B81:B83"/>
    <mergeCell ref="B84:B86"/>
    <mergeCell ref="A84:A86"/>
  </mergeCells>
  <conditionalFormatting sqref="Z6:Z83">
    <cfRule type="top10" priority="5" dxfId="3" stopIfTrue="1" rank="5" bottom="1"/>
    <cfRule type="top10" priority="6" dxfId="0" stopIfTrue="1" rank="5"/>
  </conditionalFormatting>
  <conditionalFormatting sqref="W6:W83">
    <cfRule type="top10" priority="3" dxfId="1" stopIfTrue="1" rank="10"/>
    <cfRule type="top10" priority="4" dxfId="0" stopIfTrue="1" rank="5"/>
  </conditionalFormatting>
  <conditionalFormatting sqref="H83:M83">
    <cfRule type="top10" priority="1" dxfId="3" stopIfTrue="1" rank="5" bottom="1"/>
    <cfRule type="top10" priority="2" dxfId="0" stopIfTrue="1" rank="5"/>
  </conditionalFormatting>
  <printOptions/>
  <pageMargins left="0.7086614173228347" right="0.07874015748031496" top="0.5905511811023623" bottom="0.1968503937007874" header="0.31496062992125984" footer="0.31496062992125984"/>
  <pageSetup horizontalDpi="600" verticalDpi="600" orientation="portrait" paperSize="9" scale="80" r:id="rId1"/>
  <rowBreaks count="1" manualBreakCount="1">
    <brk id="56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102"/>
  <sheetViews>
    <sheetView zoomScalePageLayoutView="0" workbookViewId="0" topLeftCell="A1">
      <selection activeCell="S13" sqref="S13"/>
    </sheetView>
  </sheetViews>
  <sheetFormatPr defaultColWidth="7.8515625" defaultRowHeight="12.75"/>
  <cols>
    <col min="1" max="1" width="2.57421875" style="142" customWidth="1"/>
    <col min="2" max="2" width="2.00390625" style="142" hidden="1" customWidth="1"/>
    <col min="3" max="3" width="0.9921875" style="142" hidden="1" customWidth="1"/>
    <col min="4" max="4" width="8.8515625" style="142" customWidth="1"/>
    <col min="5" max="6" width="9.8515625" style="142" customWidth="1"/>
    <col min="7" max="7" width="9.140625" style="142" customWidth="1"/>
    <col min="8" max="8" width="8.421875" style="142" customWidth="1"/>
    <col min="9" max="9" width="9.28125" style="142" customWidth="1"/>
    <col min="10" max="11" width="9.140625" style="142" customWidth="1"/>
    <col min="12" max="13" width="9.28125" style="142" customWidth="1"/>
    <col min="14" max="14" width="9.140625" style="142" customWidth="1"/>
    <col min="15" max="15" width="13.140625" style="265" bestFit="1" customWidth="1"/>
    <col min="16" max="16" width="7.8515625" style="142" customWidth="1"/>
    <col min="17" max="17" width="11.421875" style="142" customWidth="1"/>
    <col min="18" max="21" width="7.8515625" style="142" customWidth="1"/>
    <col min="22" max="16384" width="7.8515625" style="142" customWidth="1"/>
  </cols>
  <sheetData>
    <row r="1" spans="2:15" ht="18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O1" s="316" t="s">
        <v>137</v>
      </c>
    </row>
    <row r="2" spans="1:15" ht="18" customHeight="1">
      <c r="A2" s="262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5" ht="16.5" customHeight="1">
      <c r="A3" s="133" t="s">
        <v>193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  <c r="O3" s="134"/>
    </row>
    <row r="4" spans="1:15" ht="9" customHeight="1" thickBo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7" ht="31.5" customHeight="1" thickBot="1">
      <c r="A5" s="268" t="s">
        <v>18</v>
      </c>
      <c r="B5" s="269" t="s">
        <v>120</v>
      </c>
      <c r="C5" s="269" t="s">
        <v>121</v>
      </c>
      <c r="D5" s="311">
        <v>41000</v>
      </c>
      <c r="E5" s="311">
        <v>41030</v>
      </c>
      <c r="F5" s="311">
        <v>41061</v>
      </c>
      <c r="G5" s="311">
        <v>41091</v>
      </c>
      <c r="H5" s="311">
        <v>41122</v>
      </c>
      <c r="I5" s="311">
        <v>41153</v>
      </c>
      <c r="J5" s="311">
        <v>41183</v>
      </c>
      <c r="K5" s="311">
        <v>41214</v>
      </c>
      <c r="L5" s="311">
        <v>41244</v>
      </c>
      <c r="M5" s="311">
        <v>41275</v>
      </c>
      <c r="N5" s="311">
        <v>41306</v>
      </c>
      <c r="O5" s="270" t="s">
        <v>2</v>
      </c>
      <c r="Q5" s="284"/>
    </row>
    <row r="6" spans="1:15" ht="18" customHeight="1">
      <c r="A6" s="555">
        <v>1</v>
      </c>
      <c r="B6" s="547" t="s">
        <v>39</v>
      </c>
      <c r="C6" s="271" t="s">
        <v>122</v>
      </c>
      <c r="D6" s="272">
        <v>7113</v>
      </c>
      <c r="E6" s="272">
        <v>6654</v>
      </c>
      <c r="F6" s="272">
        <v>5200</v>
      </c>
      <c r="G6" s="272">
        <v>2288</v>
      </c>
      <c r="H6" s="272">
        <v>2135</v>
      </c>
      <c r="I6" s="272">
        <v>1633</v>
      </c>
      <c r="J6" s="272">
        <v>3414</v>
      </c>
      <c r="K6" s="272">
        <v>1329</v>
      </c>
      <c r="L6" s="272">
        <f>'[1]WL (8&amp;9)'!L5+'[1]WLL (10&amp;11)'!L5+'[1]Mobile (12&amp;13)'!L6</f>
        <v>1938</v>
      </c>
      <c r="M6" s="272">
        <v>2694</v>
      </c>
      <c r="N6" s="272">
        <f>'WL (8&amp;9)'!N5+'WLL (10&amp;11)'!N5+'Mobile (12&amp;13)'!N6</f>
        <v>2969</v>
      </c>
      <c r="O6" s="273">
        <f aca="true" t="shared" si="0" ref="O6:O70">SUM(D6:N6)</f>
        <v>37367</v>
      </c>
    </row>
    <row r="7" spans="1:15" ht="18" customHeight="1">
      <c r="A7" s="556"/>
      <c r="B7" s="548"/>
      <c r="C7" s="257" t="s">
        <v>123</v>
      </c>
      <c r="D7" s="258">
        <v>4904</v>
      </c>
      <c r="E7" s="258">
        <v>3897</v>
      </c>
      <c r="F7" s="258">
        <v>2705</v>
      </c>
      <c r="G7" s="258">
        <v>411</v>
      </c>
      <c r="H7" s="258">
        <v>548</v>
      </c>
      <c r="I7" s="258">
        <v>787</v>
      </c>
      <c r="J7" s="258">
        <v>2066</v>
      </c>
      <c r="K7" s="258">
        <v>750</v>
      </c>
      <c r="L7" s="258">
        <f>'[1]WL (8&amp;9)'!L6+'[1]WLL (10&amp;11)'!L6+'[1]Mobile (12&amp;13)'!L7</f>
        <v>570</v>
      </c>
      <c r="M7" s="258">
        <v>1139</v>
      </c>
      <c r="N7" s="258">
        <f>'WL (8&amp;9)'!N6+'WLL (10&amp;11)'!N6+'Mobile (12&amp;13)'!N7</f>
        <v>506</v>
      </c>
      <c r="O7" s="274">
        <f t="shared" si="0"/>
        <v>18283</v>
      </c>
    </row>
    <row r="8" spans="1:19" ht="18" customHeight="1" thickBot="1">
      <c r="A8" s="557"/>
      <c r="B8" s="549"/>
      <c r="C8" s="275" t="s">
        <v>124</v>
      </c>
      <c r="D8" s="276">
        <v>2209</v>
      </c>
      <c r="E8" s="276">
        <v>2757</v>
      </c>
      <c r="F8" s="276">
        <v>2495</v>
      </c>
      <c r="G8" s="276">
        <v>1877</v>
      </c>
      <c r="H8" s="276">
        <v>1587</v>
      </c>
      <c r="I8" s="276">
        <v>846</v>
      </c>
      <c r="J8" s="276">
        <v>1348</v>
      </c>
      <c r="K8" s="276">
        <v>579</v>
      </c>
      <c r="L8" s="276">
        <f>L6-L7</f>
        <v>1368</v>
      </c>
      <c r="M8" s="276">
        <v>1555</v>
      </c>
      <c r="N8" s="276">
        <f>N6-N7</f>
        <v>2463</v>
      </c>
      <c r="O8" s="277">
        <f t="shared" si="0"/>
        <v>19084</v>
      </c>
      <c r="S8" s="353"/>
    </row>
    <row r="9" spans="1:15" ht="18" customHeight="1">
      <c r="A9" s="558">
        <v>2</v>
      </c>
      <c r="B9" s="547" t="s">
        <v>65</v>
      </c>
      <c r="C9" s="271" t="s">
        <v>122</v>
      </c>
      <c r="D9" s="272">
        <v>257245</v>
      </c>
      <c r="E9" s="272">
        <v>204257</v>
      </c>
      <c r="F9" s="272">
        <v>205359</v>
      </c>
      <c r="G9" s="272">
        <v>166983</v>
      </c>
      <c r="H9" s="427">
        <v>182885</v>
      </c>
      <c r="I9" s="272">
        <v>232153</v>
      </c>
      <c r="J9" s="272">
        <v>178620</v>
      </c>
      <c r="K9" s="272">
        <v>107623</v>
      </c>
      <c r="L9" s="272">
        <f>'[1]WL (8&amp;9)'!L8+'[1]WLL (10&amp;11)'!L8+'[1]Mobile (12&amp;13)'!L9</f>
        <v>142307</v>
      </c>
      <c r="M9" s="272">
        <v>144556</v>
      </c>
      <c r="N9" s="272">
        <f>'WL (8&amp;9)'!N8+'WLL (10&amp;11)'!N8+'Mobile (12&amp;13)'!N9</f>
        <v>118364</v>
      </c>
      <c r="O9" s="383">
        <f t="shared" si="0"/>
        <v>1940352</v>
      </c>
    </row>
    <row r="10" spans="1:15" ht="18" customHeight="1">
      <c r="A10" s="559"/>
      <c r="B10" s="548"/>
      <c r="C10" s="257" t="s">
        <v>123</v>
      </c>
      <c r="D10" s="258">
        <v>272901</v>
      </c>
      <c r="E10" s="258">
        <v>220932</v>
      </c>
      <c r="F10" s="258">
        <v>104330</v>
      </c>
      <c r="G10" s="258">
        <v>160917</v>
      </c>
      <c r="H10" s="323">
        <v>198270</v>
      </c>
      <c r="I10" s="258">
        <v>227233</v>
      </c>
      <c r="J10" s="258">
        <v>156161</v>
      </c>
      <c r="K10" s="258">
        <v>104560</v>
      </c>
      <c r="L10" s="258">
        <f>'[1]WL (8&amp;9)'!L9+'[1]WLL (10&amp;11)'!L9+'[1]Mobile (12&amp;13)'!L10</f>
        <v>131322</v>
      </c>
      <c r="M10" s="258">
        <v>110285</v>
      </c>
      <c r="N10" s="258">
        <f>'WL (8&amp;9)'!N9+'WLL (10&amp;11)'!N9+'Mobile (12&amp;13)'!N10</f>
        <v>93101</v>
      </c>
      <c r="O10" s="274">
        <f t="shared" si="0"/>
        <v>1780012</v>
      </c>
    </row>
    <row r="11" spans="1:15" ht="18" customHeight="1" thickBot="1">
      <c r="A11" s="560"/>
      <c r="B11" s="549"/>
      <c r="C11" s="275" t="s">
        <v>124</v>
      </c>
      <c r="D11" s="276">
        <v>-15656</v>
      </c>
      <c r="E11" s="276">
        <v>-16675</v>
      </c>
      <c r="F11" s="276">
        <v>101029</v>
      </c>
      <c r="G11" s="276">
        <v>6066</v>
      </c>
      <c r="H11" s="276">
        <v>-15385</v>
      </c>
      <c r="I11" s="276">
        <v>4920</v>
      </c>
      <c r="J11" s="276">
        <v>22459</v>
      </c>
      <c r="K11" s="276">
        <v>3063</v>
      </c>
      <c r="L11" s="276">
        <f>L9-L10</f>
        <v>10985</v>
      </c>
      <c r="M11" s="276">
        <v>34271</v>
      </c>
      <c r="N11" s="276">
        <f>N9-N10</f>
        <v>25263</v>
      </c>
      <c r="O11" s="277">
        <f t="shared" si="0"/>
        <v>160340</v>
      </c>
    </row>
    <row r="12" spans="1:15" ht="18" customHeight="1">
      <c r="A12" s="558">
        <v>3</v>
      </c>
      <c r="B12" s="547" t="s">
        <v>3</v>
      </c>
      <c r="C12" s="271" t="s">
        <v>122</v>
      </c>
      <c r="D12" s="272">
        <v>58162</v>
      </c>
      <c r="E12" s="272">
        <v>23695</v>
      </c>
      <c r="F12" s="272">
        <v>26772</v>
      </c>
      <c r="G12" s="272">
        <v>26496</v>
      </c>
      <c r="H12" s="272">
        <v>31219</v>
      </c>
      <c r="I12" s="272">
        <v>15121</v>
      </c>
      <c r="J12" s="272">
        <v>19005</v>
      </c>
      <c r="K12" s="272">
        <v>11635</v>
      </c>
      <c r="L12" s="272">
        <f>'[1]WL (8&amp;9)'!L11+'[1]WLL (10&amp;11)'!L11+'[1]Mobile (12&amp;13)'!L12</f>
        <v>28076</v>
      </c>
      <c r="M12" s="272">
        <v>35773</v>
      </c>
      <c r="N12" s="272">
        <f>'WL (8&amp;9)'!N11+'WLL (10&amp;11)'!N11+'Mobile (12&amp;13)'!N12</f>
        <v>23457</v>
      </c>
      <c r="O12" s="273">
        <f t="shared" si="0"/>
        <v>299411</v>
      </c>
    </row>
    <row r="13" spans="1:15" ht="18" customHeight="1">
      <c r="A13" s="559"/>
      <c r="B13" s="548"/>
      <c r="C13" s="257" t="s">
        <v>123</v>
      </c>
      <c r="D13" s="258">
        <v>52974</v>
      </c>
      <c r="E13" s="258">
        <v>50006</v>
      </c>
      <c r="F13" s="258">
        <v>27348</v>
      </c>
      <c r="G13" s="258">
        <v>32446</v>
      </c>
      <c r="H13" s="258">
        <v>30913</v>
      </c>
      <c r="I13" s="258">
        <v>16555</v>
      </c>
      <c r="J13" s="258">
        <v>41259</v>
      </c>
      <c r="K13" s="258">
        <v>36670</v>
      </c>
      <c r="L13" s="258">
        <f>'[1]WL (8&amp;9)'!L12+'[1]WLL (10&amp;11)'!L12+'[1]Mobile (12&amp;13)'!L13</f>
        <v>22424</v>
      </c>
      <c r="M13" s="258">
        <v>33084</v>
      </c>
      <c r="N13" s="258">
        <f>'WL (8&amp;9)'!N12+'WLL (10&amp;11)'!N12+'Mobile (12&amp;13)'!N13</f>
        <v>21192</v>
      </c>
      <c r="O13" s="274">
        <f t="shared" si="0"/>
        <v>364871</v>
      </c>
    </row>
    <row r="14" spans="1:15" ht="18" customHeight="1" thickBot="1">
      <c r="A14" s="560"/>
      <c r="B14" s="549"/>
      <c r="C14" s="275" t="s">
        <v>124</v>
      </c>
      <c r="D14" s="276">
        <v>5188</v>
      </c>
      <c r="E14" s="276">
        <v>-26311</v>
      </c>
      <c r="F14" s="276">
        <v>-576</v>
      </c>
      <c r="G14" s="276">
        <v>-5950</v>
      </c>
      <c r="H14" s="276">
        <v>306</v>
      </c>
      <c r="I14" s="276">
        <v>-1434</v>
      </c>
      <c r="J14" s="276">
        <v>-22254</v>
      </c>
      <c r="K14" s="276">
        <v>-25035</v>
      </c>
      <c r="L14" s="276">
        <f>L12-L13</f>
        <v>5652</v>
      </c>
      <c r="M14" s="276">
        <v>2689</v>
      </c>
      <c r="N14" s="276">
        <f>N12-N13</f>
        <v>2265</v>
      </c>
      <c r="O14" s="277">
        <f t="shared" si="0"/>
        <v>-65460</v>
      </c>
    </row>
    <row r="15" spans="1:15" ht="18" customHeight="1">
      <c r="A15" s="558">
        <v>4</v>
      </c>
      <c r="B15" s="547" t="s">
        <v>31</v>
      </c>
      <c r="C15" s="271" t="s">
        <v>122</v>
      </c>
      <c r="D15" s="272">
        <v>288531</v>
      </c>
      <c r="E15" s="272">
        <v>93539</v>
      </c>
      <c r="F15" s="272">
        <v>29117</v>
      </c>
      <c r="G15" s="272">
        <v>23712</v>
      </c>
      <c r="H15" s="272">
        <v>71618</v>
      </c>
      <c r="I15" s="272">
        <v>64079</v>
      </c>
      <c r="J15" s="272">
        <v>14592</v>
      </c>
      <c r="K15" s="272">
        <v>31349</v>
      </c>
      <c r="L15" s="272">
        <f>'[1]WL (8&amp;9)'!L14+'[1]WLL (10&amp;11)'!L14+'[1]Mobile (12&amp;13)'!L15</f>
        <v>43009</v>
      </c>
      <c r="M15" s="272">
        <v>44105</v>
      </c>
      <c r="N15" s="272">
        <f>'WL (8&amp;9)'!N14+'WLL (10&amp;11)'!N14+'Mobile (12&amp;13)'!N15</f>
        <v>48241</v>
      </c>
      <c r="O15" s="273">
        <f t="shared" si="0"/>
        <v>751892</v>
      </c>
    </row>
    <row r="16" spans="1:15" ht="18" customHeight="1">
      <c r="A16" s="559"/>
      <c r="B16" s="548"/>
      <c r="C16" s="257" t="s">
        <v>123</v>
      </c>
      <c r="D16" s="258">
        <v>435150</v>
      </c>
      <c r="E16" s="258">
        <v>61792</v>
      </c>
      <c r="F16" s="258">
        <v>23625</v>
      </c>
      <c r="G16" s="258">
        <v>14426</v>
      </c>
      <c r="H16" s="258">
        <v>62043</v>
      </c>
      <c r="I16" s="258">
        <v>57242</v>
      </c>
      <c r="J16" s="258">
        <v>9233</v>
      </c>
      <c r="K16" s="258">
        <v>55571</v>
      </c>
      <c r="L16" s="258">
        <f>'[1]WL (8&amp;9)'!L15+'[1]WLL (10&amp;11)'!L15+'[1]Mobile (12&amp;13)'!L16</f>
        <v>67308</v>
      </c>
      <c r="M16" s="258">
        <v>233144</v>
      </c>
      <c r="N16" s="258">
        <f>'WL (8&amp;9)'!N15+'WLL (10&amp;11)'!N15+'Mobile (12&amp;13)'!N16</f>
        <v>77232</v>
      </c>
      <c r="O16" s="274">
        <f t="shared" si="0"/>
        <v>1096766</v>
      </c>
    </row>
    <row r="17" spans="1:15" ht="18" customHeight="1" thickBot="1">
      <c r="A17" s="560"/>
      <c r="B17" s="549"/>
      <c r="C17" s="275" t="s">
        <v>124</v>
      </c>
      <c r="D17" s="428">
        <v>-146619</v>
      </c>
      <c r="E17" s="276">
        <v>31747</v>
      </c>
      <c r="F17" s="276">
        <v>5492</v>
      </c>
      <c r="G17" s="276">
        <v>9286</v>
      </c>
      <c r="H17" s="276">
        <v>9575</v>
      </c>
      <c r="I17" s="276">
        <v>6837</v>
      </c>
      <c r="J17" s="276">
        <v>5359</v>
      </c>
      <c r="K17" s="276">
        <v>-24222</v>
      </c>
      <c r="L17" s="276">
        <f>L15-L16</f>
        <v>-24299</v>
      </c>
      <c r="M17" s="428">
        <v>-189039</v>
      </c>
      <c r="N17" s="276">
        <f>N15-N16</f>
        <v>-28991</v>
      </c>
      <c r="O17" s="277">
        <f t="shared" si="0"/>
        <v>-344874</v>
      </c>
    </row>
    <row r="18" spans="1:18" ht="18" customHeight="1">
      <c r="A18" s="558">
        <v>5</v>
      </c>
      <c r="B18" s="547" t="s">
        <v>5</v>
      </c>
      <c r="C18" s="271" t="s">
        <v>122</v>
      </c>
      <c r="D18" s="272">
        <v>35743</v>
      </c>
      <c r="E18" s="272">
        <v>29038</v>
      </c>
      <c r="F18" s="272">
        <v>22645</v>
      </c>
      <c r="G18" s="272">
        <v>17819</v>
      </c>
      <c r="H18" s="272">
        <v>8211</v>
      </c>
      <c r="I18" s="272">
        <v>15412</v>
      </c>
      <c r="J18" s="272">
        <v>20357</v>
      </c>
      <c r="K18" s="272">
        <v>10275</v>
      </c>
      <c r="L18" s="272">
        <f>'[1]WL (8&amp;9)'!L17+'[1]WLL (10&amp;11)'!L17+'[1]Mobile (12&amp;13)'!L18</f>
        <v>18565</v>
      </c>
      <c r="M18" s="272">
        <v>25747</v>
      </c>
      <c r="N18" s="272">
        <f>'WL (8&amp;9)'!N17+'WLL (10&amp;11)'!N17+'Mobile (12&amp;13)'!N18</f>
        <v>19713</v>
      </c>
      <c r="O18" s="273">
        <f t="shared" si="0"/>
        <v>223525</v>
      </c>
      <c r="Q18" s="353"/>
      <c r="R18" s="353"/>
    </row>
    <row r="19" spans="1:17" ht="18" customHeight="1">
      <c r="A19" s="559"/>
      <c r="B19" s="548"/>
      <c r="C19" s="257" t="s">
        <v>123</v>
      </c>
      <c r="D19" s="258">
        <v>4596</v>
      </c>
      <c r="E19" s="258">
        <v>4978</v>
      </c>
      <c r="F19" s="258">
        <v>3012</v>
      </c>
      <c r="G19" s="258">
        <v>2481</v>
      </c>
      <c r="H19" s="258">
        <v>4511</v>
      </c>
      <c r="I19" s="258">
        <v>3321</v>
      </c>
      <c r="J19" s="258">
        <v>3215</v>
      </c>
      <c r="K19" s="258">
        <v>3564</v>
      </c>
      <c r="L19" s="258">
        <f>'[1]WL (8&amp;9)'!L18+'[1]WLL (10&amp;11)'!L18+'[1]Mobile (12&amp;13)'!L19</f>
        <v>1648</v>
      </c>
      <c r="M19" s="258">
        <v>5461</v>
      </c>
      <c r="N19" s="258">
        <f>'WL (8&amp;9)'!N18+'WLL (10&amp;11)'!N18+'Mobile (12&amp;13)'!N19</f>
        <v>5691</v>
      </c>
      <c r="O19" s="274">
        <f t="shared" si="0"/>
        <v>42478</v>
      </c>
      <c r="Q19" s="264"/>
    </row>
    <row r="20" spans="1:17" ht="18" customHeight="1" thickBot="1">
      <c r="A20" s="560"/>
      <c r="B20" s="549"/>
      <c r="C20" s="275" t="s">
        <v>124</v>
      </c>
      <c r="D20" s="276">
        <v>31147</v>
      </c>
      <c r="E20" s="276">
        <v>24060</v>
      </c>
      <c r="F20" s="276">
        <v>19633</v>
      </c>
      <c r="G20" s="276">
        <v>15338</v>
      </c>
      <c r="H20" s="276">
        <v>3700</v>
      </c>
      <c r="I20" s="276">
        <v>12091</v>
      </c>
      <c r="J20" s="276">
        <v>17142</v>
      </c>
      <c r="K20" s="276">
        <v>6711</v>
      </c>
      <c r="L20" s="276">
        <f>L18-L19</f>
        <v>16917</v>
      </c>
      <c r="M20" s="276">
        <v>20286</v>
      </c>
      <c r="N20" s="276">
        <f>N18-N19</f>
        <v>14022</v>
      </c>
      <c r="O20" s="277">
        <f t="shared" si="0"/>
        <v>181047</v>
      </c>
      <c r="Q20" s="264"/>
    </row>
    <row r="21" spans="1:17" ht="18" customHeight="1">
      <c r="A21" s="558">
        <v>6</v>
      </c>
      <c r="B21" s="547" t="s">
        <v>32</v>
      </c>
      <c r="C21" s="271" t="s">
        <v>122</v>
      </c>
      <c r="D21" s="272">
        <v>24895</v>
      </c>
      <c r="E21" s="272">
        <v>8067</v>
      </c>
      <c r="F21" s="272">
        <v>10481</v>
      </c>
      <c r="G21" s="272">
        <v>34467</v>
      </c>
      <c r="H21" s="272">
        <v>51809</v>
      </c>
      <c r="I21" s="272">
        <v>26714</v>
      </c>
      <c r="J21" s="272">
        <v>28123</v>
      </c>
      <c r="K21" s="272">
        <v>27391</v>
      </c>
      <c r="L21" s="272">
        <f>'[1]WL (8&amp;9)'!L20+'[1]WLL (10&amp;11)'!L20+'[1]Mobile (12&amp;13)'!L21</f>
        <v>33844</v>
      </c>
      <c r="M21" s="272">
        <v>25119</v>
      </c>
      <c r="N21" s="272">
        <f>'WL (8&amp;9)'!N20+'WLL (10&amp;11)'!N20+'Mobile (12&amp;13)'!N21</f>
        <v>31596</v>
      </c>
      <c r="O21" s="273">
        <f t="shared" si="0"/>
        <v>302506</v>
      </c>
      <c r="Q21" s="264"/>
    </row>
    <row r="22" spans="1:17" ht="18" customHeight="1">
      <c r="A22" s="559"/>
      <c r="B22" s="548"/>
      <c r="C22" s="257" t="s">
        <v>123</v>
      </c>
      <c r="D22" s="258">
        <v>18044</v>
      </c>
      <c r="E22" s="258">
        <v>59041</v>
      </c>
      <c r="F22" s="258">
        <v>19174</v>
      </c>
      <c r="G22" s="258">
        <v>73108</v>
      </c>
      <c r="H22" s="258">
        <v>22867</v>
      </c>
      <c r="I22" s="258">
        <v>19944</v>
      </c>
      <c r="J22" s="258">
        <v>21098</v>
      </c>
      <c r="K22" s="258">
        <v>12933</v>
      </c>
      <c r="L22" s="258">
        <f>'[1]WL (8&amp;9)'!L21+'[1]WLL (10&amp;11)'!L21+'[1]Mobile (12&amp;13)'!L22</f>
        <v>15039</v>
      </c>
      <c r="M22" s="258">
        <v>11290</v>
      </c>
      <c r="N22" s="258">
        <f>'WL (8&amp;9)'!N21+'WLL (10&amp;11)'!N21+'Mobile (12&amp;13)'!N22</f>
        <v>16406</v>
      </c>
      <c r="O22" s="274">
        <f t="shared" si="0"/>
        <v>288944</v>
      </c>
      <c r="Q22" s="264"/>
    </row>
    <row r="23" spans="1:17" ht="18" customHeight="1" thickBot="1">
      <c r="A23" s="560"/>
      <c r="B23" s="549"/>
      <c r="C23" s="275" t="s">
        <v>124</v>
      </c>
      <c r="D23" s="276">
        <v>6851</v>
      </c>
      <c r="E23" s="276">
        <v>-50974</v>
      </c>
      <c r="F23" s="276">
        <v>-8693</v>
      </c>
      <c r="G23" s="276">
        <v>-38641</v>
      </c>
      <c r="H23" s="276">
        <v>28942</v>
      </c>
      <c r="I23" s="276">
        <v>6770</v>
      </c>
      <c r="J23" s="276">
        <v>7025</v>
      </c>
      <c r="K23" s="276">
        <v>14458</v>
      </c>
      <c r="L23" s="276">
        <f>L21-L22</f>
        <v>18805</v>
      </c>
      <c r="M23" s="276">
        <v>13829</v>
      </c>
      <c r="N23" s="276">
        <f>N21-N22</f>
        <v>15190</v>
      </c>
      <c r="O23" s="277">
        <f t="shared" si="0"/>
        <v>13562</v>
      </c>
      <c r="Q23" s="264"/>
    </row>
    <row r="24" spans="1:17" ht="18" customHeight="1">
      <c r="A24" s="558">
        <v>7</v>
      </c>
      <c r="B24" s="547" t="s">
        <v>66</v>
      </c>
      <c r="C24" s="271" t="s">
        <v>122</v>
      </c>
      <c r="D24" s="272">
        <v>49573</v>
      </c>
      <c r="E24" s="272">
        <v>51470</v>
      </c>
      <c r="F24" s="272">
        <v>38487</v>
      </c>
      <c r="G24" s="272">
        <v>52552</v>
      </c>
      <c r="H24" s="272">
        <v>51204</v>
      </c>
      <c r="I24" s="272">
        <v>50760</v>
      </c>
      <c r="J24" s="272">
        <v>48931</v>
      </c>
      <c r="K24" s="272">
        <v>25450</v>
      </c>
      <c r="L24" s="272">
        <f>'[1]WL (8&amp;9)'!L23+'[1]WLL (10&amp;11)'!L23+'[1]Mobile (12&amp;13)'!L24</f>
        <v>42091</v>
      </c>
      <c r="M24" s="272">
        <v>40450</v>
      </c>
      <c r="N24" s="272">
        <f>'WL (8&amp;9)'!N23+'WLL (10&amp;11)'!N23+'Mobile (12&amp;13)'!N24</f>
        <v>35902</v>
      </c>
      <c r="O24" s="273">
        <f t="shared" si="0"/>
        <v>486870</v>
      </c>
      <c r="Q24" s="264"/>
    </row>
    <row r="25" spans="1:17" ht="18" customHeight="1">
      <c r="A25" s="559"/>
      <c r="B25" s="548"/>
      <c r="C25" s="257" t="s">
        <v>123</v>
      </c>
      <c r="D25" s="258">
        <v>49203</v>
      </c>
      <c r="E25" s="258">
        <v>48653</v>
      </c>
      <c r="F25" s="258">
        <v>17462</v>
      </c>
      <c r="G25" s="258">
        <v>19753</v>
      </c>
      <c r="H25" s="258">
        <v>49346</v>
      </c>
      <c r="I25" s="258">
        <v>53279</v>
      </c>
      <c r="J25" s="258">
        <v>53411</v>
      </c>
      <c r="K25" s="258">
        <v>50091</v>
      </c>
      <c r="L25" s="258">
        <f>'[1]WL (8&amp;9)'!L24+'[1]WLL (10&amp;11)'!L24+'[1]Mobile (12&amp;13)'!L25</f>
        <v>52257</v>
      </c>
      <c r="M25" s="258">
        <v>37157</v>
      </c>
      <c r="N25" s="258">
        <f>'WL (8&amp;9)'!N24+'WLL (10&amp;11)'!N24+'Mobile (12&amp;13)'!N25</f>
        <v>19608</v>
      </c>
      <c r="O25" s="274">
        <f t="shared" si="0"/>
        <v>450220</v>
      </c>
      <c r="Q25" s="264"/>
    </row>
    <row r="26" spans="1:17" ht="18" customHeight="1" thickBot="1">
      <c r="A26" s="560"/>
      <c r="B26" s="549"/>
      <c r="C26" s="275" t="s">
        <v>124</v>
      </c>
      <c r="D26" s="276">
        <v>370</v>
      </c>
      <c r="E26" s="276">
        <v>2817</v>
      </c>
      <c r="F26" s="276">
        <v>21025</v>
      </c>
      <c r="G26" s="276">
        <v>32799</v>
      </c>
      <c r="H26" s="276">
        <v>1858</v>
      </c>
      <c r="I26" s="276">
        <v>-2519</v>
      </c>
      <c r="J26" s="276">
        <v>-4480</v>
      </c>
      <c r="K26" s="276">
        <v>-24641</v>
      </c>
      <c r="L26" s="276">
        <f>L24-L25</f>
        <v>-10166</v>
      </c>
      <c r="M26" s="276">
        <v>3293</v>
      </c>
      <c r="N26" s="276">
        <f>N24-N25</f>
        <v>16294</v>
      </c>
      <c r="O26" s="277">
        <f t="shared" si="0"/>
        <v>36650</v>
      </c>
      <c r="Q26" s="264"/>
    </row>
    <row r="27" spans="1:15" ht="18" customHeight="1">
      <c r="A27" s="558">
        <v>8</v>
      </c>
      <c r="B27" s="547" t="s">
        <v>125</v>
      </c>
      <c r="C27" s="271" t="s">
        <v>122</v>
      </c>
      <c r="D27" s="272">
        <v>22409</v>
      </c>
      <c r="E27" s="272">
        <v>24799</v>
      </c>
      <c r="F27" s="272">
        <v>24556</v>
      </c>
      <c r="G27" s="272">
        <v>25503</v>
      </c>
      <c r="H27" s="272">
        <v>25423</v>
      </c>
      <c r="I27" s="272">
        <v>23818</v>
      </c>
      <c r="J27" s="272">
        <v>22001</v>
      </c>
      <c r="K27" s="272">
        <v>14401</v>
      </c>
      <c r="L27" s="272">
        <f>'[1]WL (8&amp;9)'!L26+'[1]WLL (10&amp;11)'!L26+'[1]Mobile (12&amp;13)'!L27</f>
        <v>19276</v>
      </c>
      <c r="M27" s="272">
        <v>18259</v>
      </c>
      <c r="N27" s="272">
        <f>'WL (8&amp;9)'!N26+'WLL (10&amp;11)'!N26+'Mobile (12&amp;13)'!N27</f>
        <v>17745</v>
      </c>
      <c r="O27" s="273">
        <f t="shared" si="0"/>
        <v>238190</v>
      </c>
    </row>
    <row r="28" spans="1:15" ht="18" customHeight="1">
      <c r="A28" s="559"/>
      <c r="B28" s="548"/>
      <c r="C28" s="257" t="s">
        <v>123</v>
      </c>
      <c r="D28" s="258">
        <v>251490</v>
      </c>
      <c r="E28" s="258">
        <v>14427</v>
      </c>
      <c r="F28" s="258">
        <v>6968</v>
      </c>
      <c r="G28" s="258">
        <v>6172</v>
      </c>
      <c r="H28" s="258">
        <v>6416</v>
      </c>
      <c r="I28" s="258">
        <v>5732</v>
      </c>
      <c r="J28" s="258">
        <v>4863</v>
      </c>
      <c r="K28" s="258">
        <v>6696</v>
      </c>
      <c r="L28" s="258">
        <f>'[1]WL (8&amp;9)'!L27+'[1]WLL (10&amp;11)'!L27+'[1]Mobile (12&amp;13)'!L28</f>
        <v>6078</v>
      </c>
      <c r="M28" s="258">
        <v>6379</v>
      </c>
      <c r="N28" s="258">
        <f>'WL (8&amp;9)'!N27+'WLL (10&amp;11)'!N27+'Mobile (12&amp;13)'!N28</f>
        <v>6696</v>
      </c>
      <c r="O28" s="274">
        <f t="shared" si="0"/>
        <v>321917</v>
      </c>
    </row>
    <row r="29" spans="1:15" ht="18" customHeight="1" thickBot="1">
      <c r="A29" s="560"/>
      <c r="B29" s="549"/>
      <c r="C29" s="275" t="s">
        <v>124</v>
      </c>
      <c r="D29" s="428">
        <v>-229081</v>
      </c>
      <c r="E29" s="276">
        <v>10372</v>
      </c>
      <c r="F29" s="276">
        <v>17588</v>
      </c>
      <c r="G29" s="276">
        <v>19331</v>
      </c>
      <c r="H29" s="276">
        <v>19007</v>
      </c>
      <c r="I29" s="276">
        <v>18086</v>
      </c>
      <c r="J29" s="276">
        <v>17138</v>
      </c>
      <c r="K29" s="276">
        <v>7705</v>
      </c>
      <c r="L29" s="276">
        <f>L27-L28</f>
        <v>13198</v>
      </c>
      <c r="M29" s="276">
        <v>11880</v>
      </c>
      <c r="N29" s="276">
        <f>N27-N28</f>
        <v>11049</v>
      </c>
      <c r="O29" s="277">
        <f t="shared" si="0"/>
        <v>-83727</v>
      </c>
    </row>
    <row r="30" spans="1:17" ht="18" customHeight="1">
      <c r="A30" s="558">
        <v>9</v>
      </c>
      <c r="B30" s="547" t="s">
        <v>33</v>
      </c>
      <c r="C30" s="271" t="s">
        <v>122</v>
      </c>
      <c r="D30" s="272">
        <v>37982</v>
      </c>
      <c r="E30" s="272">
        <v>45360</v>
      </c>
      <c r="F30" s="272">
        <v>43780</v>
      </c>
      <c r="G30" s="272">
        <v>48649</v>
      </c>
      <c r="H30" s="272">
        <v>35484</v>
      </c>
      <c r="I30" s="272">
        <v>36328</v>
      </c>
      <c r="J30" s="272">
        <v>29297</v>
      </c>
      <c r="K30" s="272">
        <v>16741</v>
      </c>
      <c r="L30" s="272">
        <f>'[1]WL (8&amp;9)'!L29+'[1]WLL (10&amp;11)'!L29+'[1]Mobile (12&amp;13)'!L30</f>
        <v>3102</v>
      </c>
      <c r="M30" s="272">
        <v>37004</v>
      </c>
      <c r="N30" s="272">
        <f>'WL (8&amp;9)'!N29+'WLL (10&amp;11)'!N29+'Mobile (12&amp;13)'!N30</f>
        <v>27258</v>
      </c>
      <c r="O30" s="273">
        <f t="shared" si="0"/>
        <v>360985</v>
      </c>
      <c r="Q30" s="264"/>
    </row>
    <row r="31" spans="1:17" ht="18" customHeight="1">
      <c r="A31" s="559"/>
      <c r="B31" s="548"/>
      <c r="C31" s="257" t="s">
        <v>123</v>
      </c>
      <c r="D31" s="258">
        <v>16118</v>
      </c>
      <c r="E31" s="258">
        <v>25064</v>
      </c>
      <c r="F31" s="258">
        <v>21789</v>
      </c>
      <c r="G31" s="258">
        <v>28223</v>
      </c>
      <c r="H31" s="258">
        <v>19612</v>
      </c>
      <c r="I31" s="258">
        <v>35484</v>
      </c>
      <c r="J31" s="258">
        <v>14106</v>
      </c>
      <c r="K31" s="258">
        <v>16654</v>
      </c>
      <c r="L31" s="258">
        <f>'[1]WL (8&amp;9)'!L30+'[1]WLL (10&amp;11)'!L30+'[1]Mobile (12&amp;13)'!L31</f>
        <v>17672</v>
      </c>
      <c r="M31" s="258">
        <v>29003</v>
      </c>
      <c r="N31" s="258">
        <f>'WL (8&amp;9)'!N30+'WLL (10&amp;11)'!N30+'Mobile (12&amp;13)'!N31</f>
        <v>30045</v>
      </c>
      <c r="O31" s="274">
        <f t="shared" si="0"/>
        <v>253770</v>
      </c>
      <c r="Q31" s="264"/>
    </row>
    <row r="32" spans="1:17" ht="18" customHeight="1" thickBot="1">
      <c r="A32" s="560"/>
      <c r="B32" s="549"/>
      <c r="C32" s="275" t="s">
        <v>124</v>
      </c>
      <c r="D32" s="276">
        <v>21864</v>
      </c>
      <c r="E32" s="276">
        <v>20296</v>
      </c>
      <c r="F32" s="276">
        <v>21991</v>
      </c>
      <c r="G32" s="276">
        <v>20426</v>
      </c>
      <c r="H32" s="276">
        <v>15872</v>
      </c>
      <c r="I32" s="276">
        <v>844</v>
      </c>
      <c r="J32" s="276">
        <v>15191</v>
      </c>
      <c r="K32" s="276">
        <v>87</v>
      </c>
      <c r="L32" s="276">
        <f>L30-L31</f>
        <v>-14570</v>
      </c>
      <c r="M32" s="276">
        <v>8001</v>
      </c>
      <c r="N32" s="276">
        <f>N30-N31</f>
        <v>-2787</v>
      </c>
      <c r="O32" s="277">
        <f t="shared" si="0"/>
        <v>107215</v>
      </c>
      <c r="Q32" s="264"/>
    </row>
    <row r="33" spans="1:20" ht="18" customHeight="1">
      <c r="A33" s="561">
        <v>10</v>
      </c>
      <c r="B33" s="547" t="s">
        <v>6</v>
      </c>
      <c r="C33" s="271" t="s">
        <v>122</v>
      </c>
      <c r="D33" s="272">
        <v>73406</v>
      </c>
      <c r="E33" s="272">
        <v>41980</v>
      </c>
      <c r="F33" s="272">
        <v>18658</v>
      </c>
      <c r="G33" s="272">
        <v>8973</v>
      </c>
      <c r="H33" s="272">
        <v>26991</v>
      </c>
      <c r="I33" s="272">
        <v>19456</v>
      </c>
      <c r="J33" s="272">
        <v>2425</v>
      </c>
      <c r="K33" s="272">
        <v>11776</v>
      </c>
      <c r="L33" s="272">
        <f>'[1]WL (8&amp;9)'!L32+'[1]WLL (10&amp;11)'!L32+'[1]Mobile (12&amp;13)'!L33</f>
        <v>11412</v>
      </c>
      <c r="M33" s="272">
        <v>13393</v>
      </c>
      <c r="N33" s="272">
        <f>'WL (8&amp;9)'!N32+'WLL (10&amp;11)'!N32+'Mobile (12&amp;13)'!N33</f>
        <v>12711</v>
      </c>
      <c r="O33" s="273">
        <f t="shared" si="0"/>
        <v>241181</v>
      </c>
      <c r="Q33" s="264"/>
      <c r="T33" s="353"/>
    </row>
    <row r="34" spans="1:17" ht="18" customHeight="1">
      <c r="A34" s="562"/>
      <c r="B34" s="548"/>
      <c r="C34" s="257" t="s">
        <v>123</v>
      </c>
      <c r="D34" s="258">
        <v>92853</v>
      </c>
      <c r="E34" s="258">
        <v>64533</v>
      </c>
      <c r="F34" s="258">
        <v>20692</v>
      </c>
      <c r="G34" s="258">
        <v>2448</v>
      </c>
      <c r="H34" s="258">
        <v>22641</v>
      </c>
      <c r="I34" s="258">
        <v>18390</v>
      </c>
      <c r="J34" s="258">
        <v>8306</v>
      </c>
      <c r="K34" s="258">
        <v>21625</v>
      </c>
      <c r="L34" s="258">
        <f>'[1]WL (8&amp;9)'!L33+'[1]WLL (10&amp;11)'!L33+'[1]Mobile (12&amp;13)'!L34</f>
        <v>19406</v>
      </c>
      <c r="M34" s="258">
        <v>19737</v>
      </c>
      <c r="N34" s="258">
        <f>'WL (8&amp;9)'!N33+'WLL (10&amp;11)'!N33+'Mobile (12&amp;13)'!N34</f>
        <v>20705</v>
      </c>
      <c r="O34" s="274">
        <f t="shared" si="0"/>
        <v>311336</v>
      </c>
      <c r="Q34" s="264"/>
    </row>
    <row r="35" spans="1:17" ht="18" customHeight="1" thickBot="1">
      <c r="A35" s="563"/>
      <c r="B35" s="549"/>
      <c r="C35" s="275" t="s">
        <v>124</v>
      </c>
      <c r="D35" s="276">
        <v>-19447</v>
      </c>
      <c r="E35" s="276">
        <v>-22553</v>
      </c>
      <c r="F35" s="276">
        <v>-2034</v>
      </c>
      <c r="G35" s="276">
        <v>6525</v>
      </c>
      <c r="H35" s="276">
        <v>4350</v>
      </c>
      <c r="I35" s="276">
        <v>1066</v>
      </c>
      <c r="J35" s="276">
        <v>-5881</v>
      </c>
      <c r="K35" s="276">
        <v>-9849</v>
      </c>
      <c r="L35" s="276">
        <f>L33-L34</f>
        <v>-7994</v>
      </c>
      <c r="M35" s="276">
        <v>-6344</v>
      </c>
      <c r="N35" s="276">
        <f>N33-N34</f>
        <v>-7994</v>
      </c>
      <c r="O35" s="277">
        <f t="shared" si="0"/>
        <v>-70155</v>
      </c>
      <c r="Q35" s="264"/>
    </row>
    <row r="36" spans="1:17" ht="18" customHeight="1">
      <c r="A36" s="561">
        <v>11</v>
      </c>
      <c r="B36" s="547" t="s">
        <v>126</v>
      </c>
      <c r="C36" s="271" t="s">
        <v>122</v>
      </c>
      <c r="D36" s="272">
        <v>156398</v>
      </c>
      <c r="E36" s="272">
        <v>129123</v>
      </c>
      <c r="F36" s="272">
        <v>150468</v>
      </c>
      <c r="G36" s="272">
        <v>148131</v>
      </c>
      <c r="H36" s="427">
        <v>132069</v>
      </c>
      <c r="I36" s="272">
        <v>118759</v>
      </c>
      <c r="J36" s="272">
        <v>114987</v>
      </c>
      <c r="K36" s="272">
        <v>60002</v>
      </c>
      <c r="L36" s="272">
        <f>'[1]WL (8&amp;9)'!L35+'[1]WLL (10&amp;11)'!L35+'[1]Mobile (12&amp;13)'!L36</f>
        <v>78813</v>
      </c>
      <c r="M36" s="272">
        <v>82531</v>
      </c>
      <c r="N36" s="272">
        <f>'WL (8&amp;9)'!N35+'WLL (10&amp;11)'!N35+'Mobile (12&amp;13)'!N36</f>
        <v>77075</v>
      </c>
      <c r="O36" s="273">
        <f t="shared" si="0"/>
        <v>1248356</v>
      </c>
      <c r="Q36" s="264"/>
    </row>
    <row r="37" spans="1:17" ht="18" customHeight="1">
      <c r="A37" s="562"/>
      <c r="B37" s="548"/>
      <c r="C37" s="257" t="s">
        <v>123</v>
      </c>
      <c r="D37" s="258">
        <v>164389</v>
      </c>
      <c r="E37" s="258">
        <v>294782</v>
      </c>
      <c r="F37" s="258">
        <v>125758</v>
      </c>
      <c r="G37" s="258">
        <v>144216</v>
      </c>
      <c r="H37" s="323">
        <v>114237</v>
      </c>
      <c r="I37" s="258">
        <v>120845</v>
      </c>
      <c r="J37" s="258">
        <v>89335</v>
      </c>
      <c r="K37" s="258">
        <v>51234</v>
      </c>
      <c r="L37" s="258">
        <f>'[1]WL (8&amp;9)'!L36+'[1]WLL (10&amp;11)'!L36+'[1]Mobile (12&amp;13)'!L37</f>
        <v>157913</v>
      </c>
      <c r="M37" s="258">
        <v>64708</v>
      </c>
      <c r="N37" s="258">
        <f>'WL (8&amp;9)'!N36+'WLL (10&amp;11)'!N36+'Mobile (12&amp;13)'!N37</f>
        <v>36284</v>
      </c>
      <c r="O37" s="274">
        <f t="shared" si="0"/>
        <v>1363701</v>
      </c>
      <c r="Q37" s="264"/>
    </row>
    <row r="38" spans="1:17" ht="18" customHeight="1" thickBot="1">
      <c r="A38" s="563"/>
      <c r="B38" s="549"/>
      <c r="C38" s="275" t="s">
        <v>124</v>
      </c>
      <c r="D38" s="276">
        <v>-7991</v>
      </c>
      <c r="E38" s="276">
        <v>-165659</v>
      </c>
      <c r="F38" s="276">
        <v>24710</v>
      </c>
      <c r="G38" s="276">
        <v>3915</v>
      </c>
      <c r="H38" s="276">
        <v>17832</v>
      </c>
      <c r="I38" s="276">
        <v>-2086</v>
      </c>
      <c r="J38" s="276">
        <v>25652</v>
      </c>
      <c r="K38" s="276">
        <v>8768</v>
      </c>
      <c r="L38" s="276">
        <f>L36-L37</f>
        <v>-79100</v>
      </c>
      <c r="M38" s="276">
        <v>17823</v>
      </c>
      <c r="N38" s="276">
        <f>N36-N37</f>
        <v>40791</v>
      </c>
      <c r="O38" s="277">
        <f t="shared" si="0"/>
        <v>-115345</v>
      </c>
      <c r="Q38" s="264"/>
    </row>
    <row r="39" spans="1:17" ht="18" customHeight="1">
      <c r="A39" s="561">
        <v>12</v>
      </c>
      <c r="B39" s="547" t="s">
        <v>35</v>
      </c>
      <c r="C39" s="271" t="s">
        <v>122</v>
      </c>
      <c r="D39" s="272">
        <v>92283</v>
      </c>
      <c r="E39" s="272">
        <v>88244</v>
      </c>
      <c r="F39" s="272">
        <v>69248</v>
      </c>
      <c r="G39" s="272">
        <v>65317</v>
      </c>
      <c r="H39" s="272">
        <v>83781</v>
      </c>
      <c r="I39" s="272">
        <v>94101</v>
      </c>
      <c r="J39" s="272">
        <v>58520</v>
      </c>
      <c r="K39" s="272">
        <v>51296</v>
      </c>
      <c r="L39" s="272">
        <f>'[1]WL (8&amp;9)'!L38+'[1]WLL (10&amp;11)'!L38+'[1]Mobile (12&amp;13)'!L39</f>
        <v>101020</v>
      </c>
      <c r="M39" s="272">
        <v>57769</v>
      </c>
      <c r="N39" s="272">
        <f>'WL (8&amp;9)'!N38+'WLL (10&amp;11)'!N38+'Mobile (12&amp;13)'!N39</f>
        <v>51077</v>
      </c>
      <c r="O39" s="273">
        <f t="shared" si="0"/>
        <v>812656</v>
      </c>
      <c r="Q39" s="264"/>
    </row>
    <row r="40" spans="1:17" ht="18" customHeight="1">
      <c r="A40" s="562"/>
      <c r="B40" s="548"/>
      <c r="C40" s="257" t="s">
        <v>123</v>
      </c>
      <c r="D40" s="258">
        <v>19826</v>
      </c>
      <c r="E40" s="258">
        <v>25467</v>
      </c>
      <c r="F40" s="258">
        <v>31495</v>
      </c>
      <c r="G40" s="258">
        <v>30147</v>
      </c>
      <c r="H40" s="258">
        <v>23049</v>
      </c>
      <c r="I40" s="258">
        <v>31006</v>
      </c>
      <c r="J40" s="258">
        <v>30516</v>
      </c>
      <c r="K40" s="258">
        <v>27442</v>
      </c>
      <c r="L40" s="258">
        <f>'[1]WL (8&amp;9)'!L39+'[1]WLL (10&amp;11)'!L39+'[1]Mobile (12&amp;13)'!L40</f>
        <v>68238</v>
      </c>
      <c r="M40" s="258">
        <v>22613</v>
      </c>
      <c r="N40" s="258">
        <f>'WL (8&amp;9)'!N39+'WLL (10&amp;11)'!N39+'Mobile (12&amp;13)'!N40</f>
        <v>21188</v>
      </c>
      <c r="O40" s="274">
        <f t="shared" si="0"/>
        <v>330987</v>
      </c>
      <c r="Q40" s="264"/>
    </row>
    <row r="41" spans="1:17" ht="18" customHeight="1" thickBot="1">
      <c r="A41" s="563"/>
      <c r="B41" s="549"/>
      <c r="C41" s="275" t="s">
        <v>124</v>
      </c>
      <c r="D41" s="276">
        <v>72457</v>
      </c>
      <c r="E41" s="276">
        <v>62777</v>
      </c>
      <c r="F41" s="276">
        <v>37753</v>
      </c>
      <c r="G41" s="276">
        <v>35170</v>
      </c>
      <c r="H41" s="276">
        <v>60732</v>
      </c>
      <c r="I41" s="276">
        <v>63095</v>
      </c>
      <c r="J41" s="276">
        <v>28004</v>
      </c>
      <c r="K41" s="276">
        <v>23854</v>
      </c>
      <c r="L41" s="276">
        <f>L39-L40</f>
        <v>32782</v>
      </c>
      <c r="M41" s="276">
        <v>35156</v>
      </c>
      <c r="N41" s="276">
        <f>N39-N40</f>
        <v>29889</v>
      </c>
      <c r="O41" s="277">
        <f t="shared" si="0"/>
        <v>481669</v>
      </c>
      <c r="Q41" s="264"/>
    </row>
    <row r="42" spans="1:17" ht="18" customHeight="1">
      <c r="A42" s="561">
        <v>13</v>
      </c>
      <c r="B42" s="547" t="s">
        <v>127</v>
      </c>
      <c r="C42" s="271" t="s">
        <v>122</v>
      </c>
      <c r="D42" s="272">
        <v>69836</v>
      </c>
      <c r="E42" s="272">
        <v>44809</v>
      </c>
      <c r="F42" s="272">
        <v>190622</v>
      </c>
      <c r="G42" s="272">
        <v>62720</v>
      </c>
      <c r="H42" s="272">
        <v>67009</v>
      </c>
      <c r="I42" s="272">
        <v>77440</v>
      </c>
      <c r="J42" s="272">
        <v>53987</v>
      </c>
      <c r="K42" s="272">
        <v>82348</v>
      </c>
      <c r="L42" s="272">
        <f>'[1]WL (8&amp;9)'!L41+'[1]WLL (10&amp;11)'!L41+'[1]Mobile (12&amp;13)'!L42</f>
        <v>57827</v>
      </c>
      <c r="M42" s="272">
        <v>119526</v>
      </c>
      <c r="N42" s="272">
        <f>'WL (8&amp;9)'!N41+'WLL (10&amp;11)'!N41+'Mobile (12&amp;13)'!N42</f>
        <v>44818</v>
      </c>
      <c r="O42" s="273">
        <f t="shared" si="0"/>
        <v>870942</v>
      </c>
      <c r="Q42" s="264"/>
    </row>
    <row r="43" spans="1:17" ht="18" customHeight="1">
      <c r="A43" s="562"/>
      <c r="B43" s="548"/>
      <c r="C43" s="257" t="s">
        <v>123</v>
      </c>
      <c r="D43" s="258">
        <v>60281</v>
      </c>
      <c r="E43" s="258">
        <v>126924</v>
      </c>
      <c r="F43" s="258">
        <v>183150</v>
      </c>
      <c r="G43" s="258">
        <v>18850</v>
      </c>
      <c r="H43" s="258">
        <v>49098</v>
      </c>
      <c r="I43" s="258">
        <v>73913</v>
      </c>
      <c r="J43" s="258">
        <v>52345</v>
      </c>
      <c r="K43" s="258">
        <v>73799</v>
      </c>
      <c r="L43" s="258">
        <f>'[1]WL (8&amp;9)'!L42+'[1]WLL (10&amp;11)'!L42+'[1]Mobile (12&amp;13)'!L43</f>
        <v>21003</v>
      </c>
      <c r="M43" s="258">
        <v>28796</v>
      </c>
      <c r="N43" s="258">
        <f>'WL (8&amp;9)'!N42+'WLL (10&amp;11)'!N42+'Mobile (12&amp;13)'!N43</f>
        <v>14257</v>
      </c>
      <c r="O43" s="274">
        <f t="shared" si="0"/>
        <v>702416</v>
      </c>
      <c r="Q43" s="264"/>
    </row>
    <row r="44" spans="1:17" ht="18" customHeight="1" thickBot="1">
      <c r="A44" s="563"/>
      <c r="B44" s="549"/>
      <c r="C44" s="275" t="s">
        <v>124</v>
      </c>
      <c r="D44" s="276">
        <v>9555</v>
      </c>
      <c r="E44" s="276">
        <v>-82115</v>
      </c>
      <c r="F44" s="276">
        <v>7472</v>
      </c>
      <c r="G44" s="276">
        <v>43870</v>
      </c>
      <c r="H44" s="276">
        <v>17911</v>
      </c>
      <c r="I44" s="276">
        <v>3527</v>
      </c>
      <c r="J44" s="276">
        <v>1642</v>
      </c>
      <c r="K44" s="276">
        <v>8549</v>
      </c>
      <c r="L44" s="276">
        <f>L42-L43</f>
        <v>36824</v>
      </c>
      <c r="M44" s="276">
        <v>90730</v>
      </c>
      <c r="N44" s="276">
        <f>N42-N43</f>
        <v>30561</v>
      </c>
      <c r="O44" s="277">
        <f t="shared" si="0"/>
        <v>168526</v>
      </c>
      <c r="Q44" s="264"/>
    </row>
    <row r="45" spans="1:17" ht="18" customHeight="1">
      <c r="A45" s="561">
        <v>14</v>
      </c>
      <c r="B45" s="547" t="s">
        <v>36</v>
      </c>
      <c r="C45" s="271" t="s">
        <v>122</v>
      </c>
      <c r="D45" s="272">
        <f>'WL (8&amp;9)'!D44+'WLL (10&amp;11)'!D44+'Mobile (12&amp;13)'!D45</f>
        <v>164729</v>
      </c>
      <c r="E45" s="272">
        <f>'WL (8&amp;9)'!E44+'WLL (10&amp;11)'!E44+'Mobile (12&amp;13)'!E45</f>
        <v>295247</v>
      </c>
      <c r="F45" s="272">
        <f>'WL (8&amp;9)'!F44+'WLL (10&amp;11)'!F44+'Mobile (12&amp;13)'!F45</f>
        <v>217673</v>
      </c>
      <c r="G45" s="272">
        <f>'WL (8&amp;9)'!G44+'WLL (10&amp;11)'!G44+'Mobile (12&amp;13)'!G45</f>
        <v>224677</v>
      </c>
      <c r="H45" s="427">
        <v>200809</v>
      </c>
      <c r="I45" s="272">
        <v>187655</v>
      </c>
      <c r="J45" s="272">
        <v>167288</v>
      </c>
      <c r="K45" s="272">
        <v>118081</v>
      </c>
      <c r="L45" s="272">
        <f>'[1]WL (8&amp;9)'!L44+'[1]WLL (10&amp;11)'!L44+'[1]Mobile (12&amp;13)'!L45</f>
        <v>109889</v>
      </c>
      <c r="M45" s="272">
        <v>94547</v>
      </c>
      <c r="N45" s="272">
        <f>'WL (8&amp;9)'!N44+'WLL (10&amp;11)'!N44+'Mobile (12&amp;13)'!N45</f>
        <v>93584</v>
      </c>
      <c r="O45" s="273">
        <f t="shared" si="0"/>
        <v>1874179</v>
      </c>
      <c r="Q45" s="264"/>
    </row>
    <row r="46" spans="1:17" ht="18" customHeight="1">
      <c r="A46" s="562"/>
      <c r="B46" s="548"/>
      <c r="C46" s="257" t="s">
        <v>123</v>
      </c>
      <c r="D46" s="258">
        <f>'WL (8&amp;9)'!D45+'WLL (10&amp;11)'!D45+'Mobile (12&amp;13)'!D46</f>
        <v>614079</v>
      </c>
      <c r="E46" s="258">
        <f>'WL (8&amp;9)'!E45+'WLL (10&amp;11)'!E45+'Mobile (12&amp;13)'!E46</f>
        <v>129219</v>
      </c>
      <c r="F46" s="258">
        <f>'WL (8&amp;9)'!F45+'WLL (10&amp;11)'!F45+'Mobile (12&amp;13)'!F46</f>
        <v>85637</v>
      </c>
      <c r="G46" s="258">
        <f>'WL (8&amp;9)'!G45+'WLL (10&amp;11)'!G45+'Mobile (12&amp;13)'!G46</f>
        <v>85489</v>
      </c>
      <c r="H46" s="258">
        <v>75057</v>
      </c>
      <c r="I46" s="258">
        <v>68713</v>
      </c>
      <c r="J46" s="258">
        <v>76289</v>
      </c>
      <c r="K46" s="258">
        <v>158081</v>
      </c>
      <c r="L46" s="258">
        <f>'[1]WL (8&amp;9)'!L45+'[1]WLL (10&amp;11)'!L45+'[1]Mobile (12&amp;13)'!L46</f>
        <v>59193</v>
      </c>
      <c r="M46" s="258">
        <v>60136</v>
      </c>
      <c r="N46" s="258">
        <f>'WL (8&amp;9)'!N45+'WLL (10&amp;11)'!N45+'Mobile (12&amp;13)'!N46</f>
        <v>62438</v>
      </c>
      <c r="O46" s="274">
        <f t="shared" si="0"/>
        <v>1474331</v>
      </c>
      <c r="Q46" s="264"/>
    </row>
    <row r="47" spans="1:17" ht="18" customHeight="1" thickBot="1">
      <c r="A47" s="563"/>
      <c r="B47" s="549"/>
      <c r="C47" s="275" t="s">
        <v>124</v>
      </c>
      <c r="D47" s="428">
        <f>D45-D46</f>
        <v>-449350</v>
      </c>
      <c r="E47" s="276">
        <f>E45-E46</f>
        <v>166028</v>
      </c>
      <c r="F47" s="276">
        <f>F45-F46</f>
        <v>132036</v>
      </c>
      <c r="G47" s="276">
        <f>G45-G46</f>
        <v>139188</v>
      </c>
      <c r="H47" s="428">
        <v>125752</v>
      </c>
      <c r="I47" s="276">
        <v>118942</v>
      </c>
      <c r="J47" s="276">
        <v>90999</v>
      </c>
      <c r="K47" s="276">
        <v>-40000</v>
      </c>
      <c r="L47" s="276">
        <f>L45-L46</f>
        <v>50696</v>
      </c>
      <c r="M47" s="276">
        <v>34411</v>
      </c>
      <c r="N47" s="276">
        <f>N45-N46</f>
        <v>31146</v>
      </c>
      <c r="O47" s="277">
        <f t="shared" si="0"/>
        <v>399848</v>
      </c>
      <c r="Q47" s="264"/>
    </row>
    <row r="48" spans="1:17" ht="18" customHeight="1">
      <c r="A48" s="561">
        <v>15</v>
      </c>
      <c r="B48" s="547" t="s">
        <v>13</v>
      </c>
      <c r="C48" s="271" t="s">
        <v>122</v>
      </c>
      <c r="D48" s="272">
        <v>15451</v>
      </c>
      <c r="E48" s="272">
        <v>14436</v>
      </c>
      <c r="F48" s="272">
        <v>7445</v>
      </c>
      <c r="G48" s="272">
        <v>16221</v>
      </c>
      <c r="H48" s="272">
        <v>15243</v>
      </c>
      <c r="I48" s="272">
        <v>15353</v>
      </c>
      <c r="J48" s="272">
        <v>14022</v>
      </c>
      <c r="K48" s="272">
        <v>9091</v>
      </c>
      <c r="L48" s="272">
        <f>'[1]WL (8&amp;9)'!L47+'[1]WLL (10&amp;11)'!L47+'[1]Mobile (12&amp;13)'!L48</f>
        <v>8630</v>
      </c>
      <c r="M48" s="272">
        <v>10764</v>
      </c>
      <c r="N48" s="272">
        <f>'WL (8&amp;9)'!N47+'WLL (10&amp;11)'!N47+'Mobile (12&amp;13)'!N48</f>
        <v>15431</v>
      </c>
      <c r="O48" s="273">
        <f t="shared" si="0"/>
        <v>142087</v>
      </c>
      <c r="Q48" s="264"/>
    </row>
    <row r="49" spans="1:15" ht="18" customHeight="1">
      <c r="A49" s="564"/>
      <c r="B49" s="548"/>
      <c r="C49" s="257" t="s">
        <v>123</v>
      </c>
      <c r="D49" s="258">
        <v>1094</v>
      </c>
      <c r="E49" s="258">
        <v>731</v>
      </c>
      <c r="F49" s="258">
        <v>457</v>
      </c>
      <c r="G49" s="258">
        <v>892</v>
      </c>
      <c r="H49" s="258">
        <v>709</v>
      </c>
      <c r="I49" s="258">
        <v>850</v>
      </c>
      <c r="J49" s="258">
        <v>11541</v>
      </c>
      <c r="K49" s="258">
        <v>1085</v>
      </c>
      <c r="L49" s="258">
        <f>'[1]WL (8&amp;9)'!L48+'[1]WLL (10&amp;11)'!L48+'[1]Mobile (12&amp;13)'!L49</f>
        <v>1098</v>
      </c>
      <c r="M49" s="258">
        <v>1569</v>
      </c>
      <c r="N49" s="258">
        <f>'WL (8&amp;9)'!N48+'WLL (10&amp;11)'!N48+'Mobile (12&amp;13)'!N49</f>
        <v>2602</v>
      </c>
      <c r="O49" s="274">
        <f t="shared" si="0"/>
        <v>22628</v>
      </c>
    </row>
    <row r="50" spans="1:15" ht="18" customHeight="1" thickBot="1">
      <c r="A50" s="565"/>
      <c r="B50" s="549"/>
      <c r="C50" s="275" t="s">
        <v>124</v>
      </c>
      <c r="D50" s="276">
        <v>14357</v>
      </c>
      <c r="E50" s="276">
        <v>13705</v>
      </c>
      <c r="F50" s="276">
        <v>6988</v>
      </c>
      <c r="G50" s="276">
        <v>15329</v>
      </c>
      <c r="H50" s="276">
        <v>14534</v>
      </c>
      <c r="I50" s="276">
        <v>14503</v>
      </c>
      <c r="J50" s="276">
        <v>2481</v>
      </c>
      <c r="K50" s="276">
        <v>8006</v>
      </c>
      <c r="L50" s="276">
        <f>L48-L49</f>
        <v>7532</v>
      </c>
      <c r="M50" s="276">
        <v>9195</v>
      </c>
      <c r="N50" s="276">
        <f>N48-N49</f>
        <v>12829</v>
      </c>
      <c r="O50" s="277">
        <f t="shared" si="0"/>
        <v>119459</v>
      </c>
    </row>
    <row r="51" spans="1:15" ht="18" customHeight="1">
      <c r="A51" s="561">
        <v>16</v>
      </c>
      <c r="B51" s="547" t="s">
        <v>12</v>
      </c>
      <c r="C51" s="271" t="s">
        <v>122</v>
      </c>
      <c r="D51" s="272">
        <v>21769</v>
      </c>
      <c r="E51" s="272">
        <v>13075</v>
      </c>
      <c r="F51" s="272">
        <v>9891</v>
      </c>
      <c r="G51" s="272">
        <v>12123</v>
      </c>
      <c r="H51" s="272">
        <v>13943</v>
      </c>
      <c r="I51" s="272">
        <v>9368</v>
      </c>
      <c r="J51" s="272">
        <v>11603</v>
      </c>
      <c r="K51" s="272">
        <v>12969</v>
      </c>
      <c r="L51" s="272">
        <f>'[1]WL (8&amp;9)'!L50+'[1]WLL (10&amp;11)'!L50+'[1]Mobile (12&amp;13)'!L51</f>
        <v>10975</v>
      </c>
      <c r="M51" s="272">
        <v>11552</v>
      </c>
      <c r="N51" s="272">
        <f>'WL (8&amp;9)'!N50+'WLL (10&amp;11)'!N50+'Mobile (12&amp;13)'!N51</f>
        <v>16363</v>
      </c>
      <c r="O51" s="273">
        <f t="shared" si="0"/>
        <v>143631</v>
      </c>
    </row>
    <row r="52" spans="1:15" ht="18" customHeight="1">
      <c r="A52" s="562"/>
      <c r="B52" s="548"/>
      <c r="C52" s="257" t="s">
        <v>123</v>
      </c>
      <c r="D52" s="258">
        <v>12978</v>
      </c>
      <c r="E52" s="258">
        <v>8792</v>
      </c>
      <c r="F52" s="258">
        <v>1529</v>
      </c>
      <c r="G52" s="258">
        <v>3342</v>
      </c>
      <c r="H52" s="258">
        <v>3744</v>
      </c>
      <c r="I52" s="258">
        <v>7762</v>
      </c>
      <c r="J52" s="258">
        <v>44257</v>
      </c>
      <c r="K52" s="258">
        <v>19687</v>
      </c>
      <c r="L52" s="258">
        <f>'[1]WL (8&amp;9)'!L51+'[1]WLL (10&amp;11)'!L51+'[1]Mobile (12&amp;13)'!L52</f>
        <v>25679</v>
      </c>
      <c r="M52" s="258">
        <v>24166</v>
      </c>
      <c r="N52" s="258">
        <f>'WL (8&amp;9)'!N51+'WLL (10&amp;11)'!N51+'Mobile (12&amp;13)'!N52</f>
        <v>22482</v>
      </c>
      <c r="O52" s="274">
        <f t="shared" si="0"/>
        <v>174418</v>
      </c>
    </row>
    <row r="53" spans="1:15" ht="18" customHeight="1" thickBot="1">
      <c r="A53" s="563"/>
      <c r="B53" s="549"/>
      <c r="C53" s="275" t="s">
        <v>124</v>
      </c>
      <c r="D53" s="276">
        <v>8791</v>
      </c>
      <c r="E53" s="276">
        <v>4283</v>
      </c>
      <c r="F53" s="276">
        <v>8362</v>
      </c>
      <c r="G53" s="276">
        <v>8781</v>
      </c>
      <c r="H53" s="276">
        <v>10199</v>
      </c>
      <c r="I53" s="276">
        <v>1606</v>
      </c>
      <c r="J53" s="276">
        <v>-32654</v>
      </c>
      <c r="K53" s="276">
        <v>-6718</v>
      </c>
      <c r="L53" s="276">
        <f>L51-L52</f>
        <v>-14704</v>
      </c>
      <c r="M53" s="276">
        <v>-12614</v>
      </c>
      <c r="N53" s="276">
        <f>N51-N52</f>
        <v>-6119</v>
      </c>
      <c r="O53" s="277">
        <f t="shared" si="0"/>
        <v>-30787</v>
      </c>
    </row>
    <row r="54" spans="1:15" ht="18" customHeight="1">
      <c r="A54" s="561">
        <v>17</v>
      </c>
      <c r="B54" s="547" t="s">
        <v>69</v>
      </c>
      <c r="C54" s="271" t="s">
        <v>122</v>
      </c>
      <c r="D54" s="272">
        <v>85128</v>
      </c>
      <c r="E54" s="272">
        <v>7990</v>
      </c>
      <c r="F54" s="272">
        <v>81075</v>
      </c>
      <c r="G54" s="272">
        <v>90991</v>
      </c>
      <c r="H54" s="427">
        <v>102313</v>
      </c>
      <c r="I54" s="272">
        <v>88626</v>
      </c>
      <c r="J54" s="272">
        <v>92705</v>
      </c>
      <c r="K54" s="272">
        <v>40442</v>
      </c>
      <c r="L54" s="272">
        <f>'[1]WL (8&amp;9)'!L53+'[1]WLL (10&amp;11)'!L53+'[1]Mobile (12&amp;13)'!L54</f>
        <v>54001</v>
      </c>
      <c r="M54" s="272">
        <v>48103</v>
      </c>
      <c r="N54" s="272">
        <f>'WL (8&amp;9)'!N53+'WLL (10&amp;11)'!N53+'Mobile (12&amp;13)'!N54</f>
        <v>57152</v>
      </c>
      <c r="O54" s="273">
        <f t="shared" si="0"/>
        <v>748526</v>
      </c>
    </row>
    <row r="55" spans="1:15" ht="18" customHeight="1">
      <c r="A55" s="562"/>
      <c r="B55" s="548"/>
      <c r="C55" s="257" t="s">
        <v>123</v>
      </c>
      <c r="D55" s="258">
        <v>126301</v>
      </c>
      <c r="E55" s="258">
        <v>17654</v>
      </c>
      <c r="F55" s="258">
        <v>79241</v>
      </c>
      <c r="G55" s="258">
        <v>88631</v>
      </c>
      <c r="H55" s="323">
        <v>100153</v>
      </c>
      <c r="I55" s="258">
        <v>84301</v>
      </c>
      <c r="J55" s="258">
        <v>92643</v>
      </c>
      <c r="K55" s="258">
        <v>38284</v>
      </c>
      <c r="L55" s="258">
        <f>'[1]WL (8&amp;9)'!L54+'[1]WLL (10&amp;11)'!L54+'[1]Mobile (12&amp;13)'!L55</f>
        <v>89250</v>
      </c>
      <c r="M55" s="258">
        <v>14848</v>
      </c>
      <c r="N55" s="258">
        <f>'WL (8&amp;9)'!N54+'WLL (10&amp;11)'!N54+'Mobile (12&amp;13)'!N55</f>
        <v>24546</v>
      </c>
      <c r="O55" s="274">
        <f t="shared" si="0"/>
        <v>755852</v>
      </c>
    </row>
    <row r="56" spans="1:15" ht="18" customHeight="1" thickBot="1">
      <c r="A56" s="563"/>
      <c r="B56" s="549"/>
      <c r="C56" s="275" t="s">
        <v>124</v>
      </c>
      <c r="D56" s="276">
        <v>-41173</v>
      </c>
      <c r="E56" s="276">
        <v>-9664</v>
      </c>
      <c r="F56" s="276">
        <v>1834</v>
      </c>
      <c r="G56" s="276">
        <v>2360</v>
      </c>
      <c r="H56" s="276">
        <v>2160</v>
      </c>
      <c r="I56" s="276">
        <v>4325</v>
      </c>
      <c r="J56" s="276">
        <v>62</v>
      </c>
      <c r="K56" s="276">
        <v>2158</v>
      </c>
      <c r="L56" s="276">
        <f>L54-L55</f>
        <v>-35249</v>
      </c>
      <c r="M56" s="276">
        <v>33255</v>
      </c>
      <c r="N56" s="276">
        <f>N54-N55</f>
        <v>32606</v>
      </c>
      <c r="O56" s="277">
        <f t="shared" si="0"/>
        <v>-7326</v>
      </c>
    </row>
    <row r="57" spans="1:15" ht="18" customHeight="1">
      <c r="A57" s="561">
        <v>18</v>
      </c>
      <c r="B57" s="547" t="s">
        <v>37</v>
      </c>
      <c r="C57" s="271" t="s">
        <v>122</v>
      </c>
      <c r="D57" s="272">
        <v>60981</v>
      </c>
      <c r="E57" s="272">
        <v>56147</v>
      </c>
      <c r="F57" s="272">
        <v>55339</v>
      </c>
      <c r="G57" s="272">
        <v>76483</v>
      </c>
      <c r="H57" s="272">
        <v>84943</v>
      </c>
      <c r="I57" s="272">
        <v>76512</v>
      </c>
      <c r="J57" s="272">
        <v>62275</v>
      </c>
      <c r="K57" s="272">
        <v>39793</v>
      </c>
      <c r="L57" s="272">
        <f>'[1]WL (8&amp;9)'!L56+'[1]WLL (10&amp;11)'!L56+'[1]Mobile (12&amp;13)'!L57</f>
        <v>51899</v>
      </c>
      <c r="M57" s="272">
        <v>52116</v>
      </c>
      <c r="N57" s="272">
        <f>'WL (8&amp;9)'!N56+'WLL (10&amp;11)'!N56+'Mobile (12&amp;13)'!N57</f>
        <v>47735</v>
      </c>
      <c r="O57" s="273">
        <f t="shared" si="0"/>
        <v>664223</v>
      </c>
    </row>
    <row r="58" spans="1:15" ht="18" customHeight="1">
      <c r="A58" s="562"/>
      <c r="B58" s="548"/>
      <c r="C58" s="257" t="s">
        <v>123</v>
      </c>
      <c r="D58" s="258">
        <v>93966</v>
      </c>
      <c r="E58" s="258">
        <v>398646</v>
      </c>
      <c r="F58" s="258">
        <v>24184</v>
      </c>
      <c r="G58" s="258">
        <v>30184</v>
      </c>
      <c r="H58" s="258">
        <v>67378</v>
      </c>
      <c r="I58" s="258">
        <v>55683</v>
      </c>
      <c r="J58" s="258">
        <v>46874</v>
      </c>
      <c r="K58" s="258">
        <v>60288</v>
      </c>
      <c r="L58" s="258">
        <f>'[1]WL (8&amp;9)'!L57+'[1]WLL (10&amp;11)'!L57+'[1]Mobile (12&amp;13)'!L58</f>
        <v>137029</v>
      </c>
      <c r="M58" s="258">
        <v>62823</v>
      </c>
      <c r="N58" s="258">
        <f>'WL (8&amp;9)'!N57+'WLL (10&amp;11)'!N57+'Mobile (12&amp;13)'!N58</f>
        <v>70770</v>
      </c>
      <c r="O58" s="274">
        <f t="shared" si="0"/>
        <v>1047825</v>
      </c>
    </row>
    <row r="59" spans="1:15" ht="18" customHeight="1" thickBot="1">
      <c r="A59" s="563"/>
      <c r="B59" s="549"/>
      <c r="C59" s="275" t="s">
        <v>124</v>
      </c>
      <c r="D59" s="276">
        <v>-32985</v>
      </c>
      <c r="E59" s="276">
        <v>-342499</v>
      </c>
      <c r="F59" s="276">
        <v>31155</v>
      </c>
      <c r="G59" s="276">
        <v>46299</v>
      </c>
      <c r="H59" s="276">
        <v>17565</v>
      </c>
      <c r="I59" s="276">
        <v>20829</v>
      </c>
      <c r="J59" s="276">
        <v>15401</v>
      </c>
      <c r="K59" s="276">
        <v>-20495</v>
      </c>
      <c r="L59" s="276">
        <f>L57-L58</f>
        <v>-85130</v>
      </c>
      <c r="M59" s="276">
        <v>-10707</v>
      </c>
      <c r="N59" s="276">
        <f>N57-N58</f>
        <v>-23035</v>
      </c>
      <c r="O59" s="277">
        <f t="shared" si="0"/>
        <v>-383602</v>
      </c>
    </row>
    <row r="60" spans="1:15" ht="18" customHeight="1">
      <c r="A60" s="561">
        <v>19</v>
      </c>
      <c r="B60" s="547" t="s">
        <v>70</v>
      </c>
      <c r="C60" s="271" t="s">
        <v>122</v>
      </c>
      <c r="D60" s="272">
        <v>114373</v>
      </c>
      <c r="E60" s="272">
        <v>125806</v>
      </c>
      <c r="F60" s="272">
        <v>82219</v>
      </c>
      <c r="G60" s="272">
        <v>93239</v>
      </c>
      <c r="H60" s="272">
        <v>90453</v>
      </c>
      <c r="I60" s="272">
        <v>80155</v>
      </c>
      <c r="J60" s="272">
        <v>199738</v>
      </c>
      <c r="K60" s="272">
        <v>35002</v>
      </c>
      <c r="L60" s="272">
        <f>'[1]WL (8&amp;9)'!L59+'[1]WLL (10&amp;11)'!L59+'[1]Mobile (12&amp;13)'!L60</f>
        <v>42693</v>
      </c>
      <c r="M60" s="272">
        <v>53623</v>
      </c>
      <c r="N60" s="272">
        <f>'WL (8&amp;9)'!N59+'WLL (10&amp;11)'!N59+'Mobile (12&amp;13)'!N60</f>
        <v>52609</v>
      </c>
      <c r="O60" s="273">
        <f t="shared" si="0"/>
        <v>969910</v>
      </c>
    </row>
    <row r="61" spans="1:15" ht="18" customHeight="1">
      <c r="A61" s="562"/>
      <c r="B61" s="548"/>
      <c r="C61" s="257" t="s">
        <v>123</v>
      </c>
      <c r="D61" s="258">
        <v>100086</v>
      </c>
      <c r="E61" s="258">
        <v>147877</v>
      </c>
      <c r="F61" s="258">
        <v>52648</v>
      </c>
      <c r="G61" s="258">
        <v>53308</v>
      </c>
      <c r="H61" s="323">
        <v>111179</v>
      </c>
      <c r="I61" s="258">
        <v>42868</v>
      </c>
      <c r="J61" s="258">
        <v>86857</v>
      </c>
      <c r="K61" s="258">
        <v>39446</v>
      </c>
      <c r="L61" s="258">
        <f>'[1]WL (8&amp;9)'!L60+'[1]WLL (10&amp;11)'!L60+'[1]Mobile (12&amp;13)'!L61</f>
        <v>34343</v>
      </c>
      <c r="M61" s="258">
        <v>106562</v>
      </c>
      <c r="N61" s="258">
        <f>'WL (8&amp;9)'!N60+'WLL (10&amp;11)'!N60+'Mobile (12&amp;13)'!N61</f>
        <v>46495</v>
      </c>
      <c r="O61" s="274">
        <f t="shared" si="0"/>
        <v>821669</v>
      </c>
    </row>
    <row r="62" spans="1:17" ht="18" customHeight="1" thickBot="1">
      <c r="A62" s="563"/>
      <c r="B62" s="549"/>
      <c r="C62" s="275" t="s">
        <v>124</v>
      </c>
      <c r="D62" s="276">
        <v>14287</v>
      </c>
      <c r="E62" s="276">
        <v>-22071</v>
      </c>
      <c r="F62" s="276">
        <v>29571</v>
      </c>
      <c r="G62" s="276">
        <v>39931</v>
      </c>
      <c r="H62" s="276">
        <v>-20726</v>
      </c>
      <c r="I62" s="276">
        <v>37287</v>
      </c>
      <c r="J62" s="276">
        <v>112881</v>
      </c>
      <c r="K62" s="276">
        <v>-4444</v>
      </c>
      <c r="L62" s="276">
        <f>L60-L61</f>
        <v>8350</v>
      </c>
      <c r="M62" s="276">
        <v>-52939</v>
      </c>
      <c r="N62" s="276">
        <f>N60-N61</f>
        <v>6114</v>
      </c>
      <c r="O62" s="277">
        <f t="shared" si="0"/>
        <v>148241</v>
      </c>
      <c r="Q62" s="264"/>
    </row>
    <row r="63" spans="1:17" ht="18" customHeight="1">
      <c r="A63" s="561">
        <v>20</v>
      </c>
      <c r="B63" s="547" t="s">
        <v>71</v>
      </c>
      <c r="C63" s="271" t="s">
        <v>122</v>
      </c>
      <c r="D63" s="272">
        <v>106909</v>
      </c>
      <c r="E63" s="272">
        <v>95575</v>
      </c>
      <c r="F63" s="272">
        <v>104071</v>
      </c>
      <c r="G63" s="272">
        <v>108003</v>
      </c>
      <c r="H63" s="427">
        <v>108888</v>
      </c>
      <c r="I63" s="272">
        <v>116579</v>
      </c>
      <c r="J63" s="272">
        <v>99695</v>
      </c>
      <c r="K63" s="272">
        <v>63603</v>
      </c>
      <c r="L63" s="272">
        <f>'[1]WL (8&amp;9)'!L62+'[1]WLL (10&amp;11)'!L62+'[1]Mobile (12&amp;13)'!L63</f>
        <v>69561</v>
      </c>
      <c r="M63" s="272">
        <v>62976</v>
      </c>
      <c r="N63" s="272">
        <f>'WL (8&amp;9)'!N62+'WLL (10&amp;11)'!N62+'Mobile (12&amp;13)'!N63</f>
        <v>72569</v>
      </c>
      <c r="O63" s="273">
        <f t="shared" si="0"/>
        <v>1008429</v>
      </c>
      <c r="Q63" s="264"/>
    </row>
    <row r="64" spans="1:17" ht="18" customHeight="1">
      <c r="A64" s="562"/>
      <c r="B64" s="548"/>
      <c r="C64" s="257" t="s">
        <v>123</v>
      </c>
      <c r="D64" s="258">
        <v>286865</v>
      </c>
      <c r="E64" s="258">
        <v>98132</v>
      </c>
      <c r="F64" s="258">
        <v>122175</v>
      </c>
      <c r="G64" s="258">
        <v>183768</v>
      </c>
      <c r="H64" s="323">
        <v>106850</v>
      </c>
      <c r="I64" s="258">
        <v>112888</v>
      </c>
      <c r="J64" s="258">
        <v>91269</v>
      </c>
      <c r="K64" s="258">
        <v>55199</v>
      </c>
      <c r="L64" s="258">
        <f>'[1]WL (8&amp;9)'!L63+'[1]WLL (10&amp;11)'!L63+'[1]Mobile (12&amp;13)'!L64</f>
        <v>66007</v>
      </c>
      <c r="M64" s="258">
        <v>23007</v>
      </c>
      <c r="N64" s="258">
        <f>'WL (8&amp;9)'!N63+'WLL (10&amp;11)'!N63+'Mobile (12&amp;13)'!N64</f>
        <v>27708</v>
      </c>
      <c r="O64" s="274">
        <f t="shared" si="0"/>
        <v>1173868</v>
      </c>
      <c r="Q64" s="264"/>
    </row>
    <row r="65" spans="1:17" ht="18" customHeight="1" thickBot="1">
      <c r="A65" s="563"/>
      <c r="B65" s="549"/>
      <c r="C65" s="275" t="s">
        <v>124</v>
      </c>
      <c r="D65" s="428">
        <v>-179956</v>
      </c>
      <c r="E65" s="276">
        <v>-2557</v>
      </c>
      <c r="F65" s="276">
        <v>-18104</v>
      </c>
      <c r="G65" s="276">
        <v>-75765</v>
      </c>
      <c r="H65" s="276">
        <v>2038</v>
      </c>
      <c r="I65" s="276">
        <v>3691</v>
      </c>
      <c r="J65" s="276">
        <v>8426</v>
      </c>
      <c r="K65" s="276">
        <v>8404</v>
      </c>
      <c r="L65" s="276">
        <f>L63-L64</f>
        <v>3554</v>
      </c>
      <c r="M65" s="276">
        <v>39969</v>
      </c>
      <c r="N65" s="276">
        <f>N63-N64</f>
        <v>44861</v>
      </c>
      <c r="O65" s="277">
        <f t="shared" si="0"/>
        <v>-165439</v>
      </c>
      <c r="Q65" s="264"/>
    </row>
    <row r="66" spans="1:17" ht="18" customHeight="1">
      <c r="A66" s="561">
        <v>21</v>
      </c>
      <c r="B66" s="547" t="s">
        <v>72</v>
      </c>
      <c r="C66" s="271" t="s">
        <v>122</v>
      </c>
      <c r="D66" s="272">
        <v>27055</v>
      </c>
      <c r="E66" s="272">
        <v>10388</v>
      </c>
      <c r="F66" s="272">
        <v>45722</v>
      </c>
      <c r="G66" s="272">
        <v>4644</v>
      </c>
      <c r="H66" s="272">
        <v>18765</v>
      </c>
      <c r="I66" s="272">
        <v>24886</v>
      </c>
      <c r="J66" s="272">
        <v>21849</v>
      </c>
      <c r="K66" s="272">
        <v>6149</v>
      </c>
      <c r="L66" s="272">
        <f>'[1]WL (8&amp;9)'!L65+'[1]WLL (10&amp;11)'!L65+'[1]Mobile (12&amp;13)'!L66</f>
        <v>16561</v>
      </c>
      <c r="M66" s="272">
        <v>14943</v>
      </c>
      <c r="N66" s="272">
        <f>'WL (8&amp;9)'!N65+'WLL (10&amp;11)'!N65+'Mobile (12&amp;13)'!N66</f>
        <v>14650</v>
      </c>
      <c r="O66" s="273">
        <f t="shared" si="0"/>
        <v>205612</v>
      </c>
      <c r="Q66" s="264"/>
    </row>
    <row r="67" spans="1:17" ht="18" customHeight="1">
      <c r="A67" s="562"/>
      <c r="B67" s="548"/>
      <c r="C67" s="257" t="s">
        <v>123</v>
      </c>
      <c r="D67" s="258">
        <v>22412</v>
      </c>
      <c r="E67" s="258">
        <v>17700</v>
      </c>
      <c r="F67" s="258">
        <v>25826</v>
      </c>
      <c r="G67" s="258">
        <v>3799</v>
      </c>
      <c r="H67" s="258">
        <v>14009</v>
      </c>
      <c r="I67" s="258">
        <v>31126</v>
      </c>
      <c r="J67" s="258">
        <v>25465</v>
      </c>
      <c r="K67" s="258">
        <v>40936</v>
      </c>
      <c r="L67" s="258">
        <f>'[1]WL (8&amp;9)'!L66+'[1]WLL (10&amp;11)'!L66+'[1]Mobile (12&amp;13)'!L67</f>
        <v>16853</v>
      </c>
      <c r="M67" s="258">
        <v>38313</v>
      </c>
      <c r="N67" s="258">
        <f>'WL (8&amp;9)'!N66+'WLL (10&amp;11)'!N66+'Mobile (12&amp;13)'!N67</f>
        <v>15173</v>
      </c>
      <c r="O67" s="274">
        <f t="shared" si="0"/>
        <v>251612</v>
      </c>
      <c r="Q67" s="264"/>
    </row>
    <row r="68" spans="1:17" ht="18" customHeight="1" thickBot="1">
      <c r="A68" s="563"/>
      <c r="B68" s="549"/>
      <c r="C68" s="275" t="s">
        <v>124</v>
      </c>
      <c r="D68" s="276">
        <v>4643</v>
      </c>
      <c r="E68" s="276">
        <v>-7312</v>
      </c>
      <c r="F68" s="276">
        <v>19896</v>
      </c>
      <c r="G68" s="276">
        <v>845</v>
      </c>
      <c r="H68" s="276">
        <v>4756</v>
      </c>
      <c r="I68" s="276">
        <v>-6240</v>
      </c>
      <c r="J68" s="276">
        <v>-3616</v>
      </c>
      <c r="K68" s="276">
        <v>-34787</v>
      </c>
      <c r="L68" s="276">
        <f>L66-L67</f>
        <v>-292</v>
      </c>
      <c r="M68" s="276">
        <v>-23370</v>
      </c>
      <c r="N68" s="276">
        <f>N66-N67</f>
        <v>-523</v>
      </c>
      <c r="O68" s="277">
        <f t="shared" si="0"/>
        <v>-46000</v>
      </c>
      <c r="Q68" s="264"/>
    </row>
    <row r="69" spans="1:17" ht="18" customHeight="1">
      <c r="A69" s="561">
        <v>22</v>
      </c>
      <c r="B69" s="547" t="s">
        <v>7</v>
      </c>
      <c r="C69" s="271" t="s">
        <v>122</v>
      </c>
      <c r="D69" s="272">
        <v>3148</v>
      </c>
      <c r="E69" s="272">
        <v>8785</v>
      </c>
      <c r="F69" s="272">
        <v>10710</v>
      </c>
      <c r="G69" s="272">
        <v>77964</v>
      </c>
      <c r="H69" s="272">
        <v>85786</v>
      </c>
      <c r="I69" s="272">
        <v>76653</v>
      </c>
      <c r="J69" s="272">
        <v>12075</v>
      </c>
      <c r="K69" s="272">
        <v>52951</v>
      </c>
      <c r="L69" s="272">
        <f>'[1]WL (8&amp;9)'!L68+'[1]WLL (10&amp;11)'!L68+'[1]Mobile (12&amp;13)'!L69</f>
        <v>24055</v>
      </c>
      <c r="M69" s="272">
        <v>19129</v>
      </c>
      <c r="N69" s="272">
        <f>'WL (8&amp;9)'!N68+'WLL (10&amp;11)'!N68+'Mobile (12&amp;13)'!N69</f>
        <v>94464</v>
      </c>
      <c r="O69" s="273">
        <f t="shared" si="0"/>
        <v>465720</v>
      </c>
      <c r="Q69" s="264"/>
    </row>
    <row r="70" spans="1:17" ht="18" customHeight="1">
      <c r="A70" s="562"/>
      <c r="B70" s="548"/>
      <c r="C70" s="257" t="s">
        <v>123</v>
      </c>
      <c r="D70" s="258">
        <v>80871</v>
      </c>
      <c r="E70" s="258">
        <v>59598</v>
      </c>
      <c r="F70" s="258">
        <v>26401</v>
      </c>
      <c r="G70" s="258">
        <v>38600</v>
      </c>
      <c r="H70" s="258">
        <v>54466</v>
      </c>
      <c r="I70" s="258">
        <v>52078</v>
      </c>
      <c r="J70" s="258">
        <v>35008</v>
      </c>
      <c r="K70" s="258">
        <v>15057</v>
      </c>
      <c r="L70" s="258">
        <f>'[1]WL (8&amp;9)'!L69+'[1]WLL (10&amp;11)'!L69+'[1]Mobile (12&amp;13)'!L70</f>
        <v>24531</v>
      </c>
      <c r="M70" s="258">
        <v>15355</v>
      </c>
      <c r="N70" s="258">
        <f>'WL (8&amp;9)'!N69+'WLL (10&amp;11)'!N69+'Mobile (12&amp;13)'!N70</f>
        <v>17966</v>
      </c>
      <c r="O70" s="274">
        <f t="shared" si="0"/>
        <v>419931</v>
      </c>
      <c r="Q70" s="264"/>
    </row>
    <row r="71" spans="1:17" ht="18" customHeight="1" thickBot="1">
      <c r="A71" s="563"/>
      <c r="B71" s="549"/>
      <c r="C71" s="275" t="s">
        <v>124</v>
      </c>
      <c r="D71" s="276">
        <v>-77723</v>
      </c>
      <c r="E71" s="276">
        <v>-50813</v>
      </c>
      <c r="F71" s="276">
        <v>-15691</v>
      </c>
      <c r="G71" s="276">
        <v>39364</v>
      </c>
      <c r="H71" s="276">
        <v>31320</v>
      </c>
      <c r="I71" s="276">
        <v>24575</v>
      </c>
      <c r="J71" s="276">
        <v>-22933</v>
      </c>
      <c r="K71" s="276">
        <v>37894</v>
      </c>
      <c r="L71" s="276">
        <f>L69-L70</f>
        <v>-476</v>
      </c>
      <c r="M71" s="276">
        <v>3774</v>
      </c>
      <c r="N71" s="276">
        <f>N69-N70</f>
        <v>76498</v>
      </c>
      <c r="O71" s="277">
        <f aca="true" t="shared" si="1" ref="O71:O86">SUM(D71:N71)</f>
        <v>45789</v>
      </c>
      <c r="Q71" s="264"/>
    </row>
    <row r="72" spans="1:17" ht="18" customHeight="1">
      <c r="A72" s="561">
        <v>23</v>
      </c>
      <c r="B72" s="547" t="s">
        <v>8</v>
      </c>
      <c r="C72" s="271" t="s">
        <v>122</v>
      </c>
      <c r="D72" s="272">
        <v>90458</v>
      </c>
      <c r="E72" s="272">
        <v>104397</v>
      </c>
      <c r="F72" s="272">
        <v>87854</v>
      </c>
      <c r="G72" s="272">
        <v>96426</v>
      </c>
      <c r="H72" s="427">
        <v>108033</v>
      </c>
      <c r="I72" s="272">
        <v>94207</v>
      </c>
      <c r="J72" s="272">
        <v>87392</v>
      </c>
      <c r="K72" s="272">
        <v>36774</v>
      </c>
      <c r="L72" s="272">
        <f>'[1]WL (8&amp;9)'!L71+'[1]WLL (10&amp;11)'!L71+'[1]Mobile (12&amp;13)'!L72</f>
        <v>61264</v>
      </c>
      <c r="M72" s="272">
        <v>67528</v>
      </c>
      <c r="N72" s="272">
        <f>'WL (8&amp;9)'!N71+'WLL (10&amp;11)'!N71+'Mobile (12&amp;13)'!N72</f>
        <v>69766</v>
      </c>
      <c r="O72" s="273">
        <f t="shared" si="1"/>
        <v>904099</v>
      </c>
      <c r="Q72" s="264"/>
    </row>
    <row r="73" spans="1:17" ht="18" customHeight="1">
      <c r="A73" s="562"/>
      <c r="B73" s="548"/>
      <c r="C73" s="257" t="s">
        <v>123</v>
      </c>
      <c r="D73" s="258">
        <v>56170</v>
      </c>
      <c r="E73" s="258">
        <v>78831</v>
      </c>
      <c r="F73" s="258">
        <v>53148</v>
      </c>
      <c r="G73" s="258">
        <v>87202</v>
      </c>
      <c r="H73" s="258">
        <v>66525</v>
      </c>
      <c r="I73" s="258">
        <v>85933</v>
      </c>
      <c r="J73" s="258">
        <v>95044</v>
      </c>
      <c r="K73" s="258">
        <v>53062</v>
      </c>
      <c r="L73" s="258">
        <f>'[1]WL (8&amp;9)'!L72+'[1]WLL (10&amp;11)'!L72+'[1]Mobile (12&amp;13)'!L73</f>
        <v>64372</v>
      </c>
      <c r="M73" s="258">
        <v>70525</v>
      </c>
      <c r="N73" s="258">
        <f>'WL (8&amp;9)'!N72+'WLL (10&amp;11)'!N72+'Mobile (12&amp;13)'!N73</f>
        <v>59230</v>
      </c>
      <c r="O73" s="274">
        <f t="shared" si="1"/>
        <v>770042</v>
      </c>
      <c r="Q73" s="264"/>
    </row>
    <row r="74" spans="1:17" ht="18" customHeight="1" thickBot="1">
      <c r="A74" s="563"/>
      <c r="B74" s="549"/>
      <c r="C74" s="275" t="s">
        <v>124</v>
      </c>
      <c r="D74" s="276">
        <v>34288</v>
      </c>
      <c r="E74" s="276">
        <v>25566</v>
      </c>
      <c r="F74" s="276">
        <v>34706</v>
      </c>
      <c r="G74" s="276">
        <v>9224</v>
      </c>
      <c r="H74" s="276">
        <v>41508</v>
      </c>
      <c r="I74" s="276">
        <v>8274</v>
      </c>
      <c r="J74" s="276">
        <v>-7652</v>
      </c>
      <c r="K74" s="276">
        <v>-16288</v>
      </c>
      <c r="L74" s="276">
        <f>L72-L73</f>
        <v>-3108</v>
      </c>
      <c r="M74" s="276">
        <v>-2997</v>
      </c>
      <c r="N74" s="276">
        <f>N72-N73</f>
        <v>10536</v>
      </c>
      <c r="O74" s="277">
        <f t="shared" si="1"/>
        <v>134057</v>
      </c>
      <c r="Q74" s="264"/>
    </row>
    <row r="75" spans="1:17" ht="18" customHeight="1">
      <c r="A75" s="561">
        <v>24</v>
      </c>
      <c r="B75" s="547" t="s">
        <v>40</v>
      </c>
      <c r="C75" s="271" t="s">
        <v>122</v>
      </c>
      <c r="D75" s="272">
        <v>40199</v>
      </c>
      <c r="E75" s="272">
        <v>18494</v>
      </c>
      <c r="F75" s="272">
        <v>8658</v>
      </c>
      <c r="G75" s="272">
        <v>21325</v>
      </c>
      <c r="H75" s="272">
        <v>6391</v>
      </c>
      <c r="I75" s="272">
        <v>14058</v>
      </c>
      <c r="J75" s="272">
        <v>5543</v>
      </c>
      <c r="K75" s="272">
        <v>5760</v>
      </c>
      <c r="L75" s="272">
        <f>'[1]WL (8&amp;9)'!L74+'[1]WLL (10&amp;11)'!L74+'[1]Mobile (12&amp;13)'!L75</f>
        <v>18058</v>
      </c>
      <c r="M75" s="272">
        <v>24661</v>
      </c>
      <c r="N75" s="272">
        <f>'WL (8&amp;9)'!N74+'WLL (10&amp;11)'!N74+'Mobile (12&amp;13)'!N75</f>
        <v>14957</v>
      </c>
      <c r="O75" s="273">
        <f>SUM(D75:N75)</f>
        <v>178104</v>
      </c>
      <c r="Q75" s="264"/>
    </row>
    <row r="76" spans="1:17" ht="18" customHeight="1">
      <c r="A76" s="562"/>
      <c r="B76" s="548"/>
      <c r="C76" s="257" t="s">
        <v>123</v>
      </c>
      <c r="D76" s="258">
        <v>38528</v>
      </c>
      <c r="E76" s="258">
        <v>41484</v>
      </c>
      <c r="F76" s="258">
        <v>22132</v>
      </c>
      <c r="G76" s="258">
        <v>16531</v>
      </c>
      <c r="H76" s="258">
        <v>8760</v>
      </c>
      <c r="I76" s="258">
        <v>16966</v>
      </c>
      <c r="J76" s="258">
        <v>21851</v>
      </c>
      <c r="K76" s="258">
        <v>25446</v>
      </c>
      <c r="L76" s="258">
        <f>'[1]WL (8&amp;9)'!L75+'[1]WLL (10&amp;11)'!L75+'[1]Mobile (12&amp;13)'!L76</f>
        <v>25446</v>
      </c>
      <c r="M76" s="258">
        <v>25446</v>
      </c>
      <c r="N76" s="258">
        <f>'WL (8&amp;9)'!N75+'WLL (10&amp;11)'!N75+'Mobile (12&amp;13)'!N76</f>
        <v>61158</v>
      </c>
      <c r="O76" s="274">
        <f t="shared" si="1"/>
        <v>303748</v>
      </c>
      <c r="Q76" s="264"/>
    </row>
    <row r="77" spans="1:17" ht="18" customHeight="1" thickBot="1">
      <c r="A77" s="563"/>
      <c r="B77" s="549"/>
      <c r="C77" s="275" t="s">
        <v>124</v>
      </c>
      <c r="D77" s="276">
        <v>1671</v>
      </c>
      <c r="E77" s="276">
        <v>-22990</v>
      </c>
      <c r="F77" s="276">
        <v>-13474</v>
      </c>
      <c r="G77" s="276">
        <v>4794</v>
      </c>
      <c r="H77" s="276">
        <v>-2369</v>
      </c>
      <c r="I77" s="276">
        <v>-2908</v>
      </c>
      <c r="J77" s="276">
        <v>-16308</v>
      </c>
      <c r="K77" s="276">
        <v>-19686</v>
      </c>
      <c r="L77" s="276">
        <f>L75-L76</f>
        <v>-7388</v>
      </c>
      <c r="M77" s="276">
        <v>-785</v>
      </c>
      <c r="N77" s="276">
        <f>N75-N76</f>
        <v>-46201</v>
      </c>
      <c r="O77" s="277">
        <f t="shared" si="1"/>
        <v>-125644</v>
      </c>
      <c r="Q77" s="264"/>
    </row>
    <row r="78" spans="1:17" ht="18" customHeight="1">
      <c r="A78" s="561">
        <v>25</v>
      </c>
      <c r="B78" s="547" t="s">
        <v>9</v>
      </c>
      <c r="C78" s="271" t="s">
        <v>122</v>
      </c>
      <c r="D78" s="272">
        <v>13932</v>
      </c>
      <c r="E78" s="272">
        <v>20687</v>
      </c>
      <c r="F78" s="272">
        <v>14824</v>
      </c>
      <c r="G78" s="272">
        <v>16028</v>
      </c>
      <c r="H78" s="272">
        <v>14747</v>
      </c>
      <c r="I78" s="272">
        <v>12398</v>
      </c>
      <c r="J78" s="272">
        <v>12846</v>
      </c>
      <c r="K78" s="272">
        <v>6744</v>
      </c>
      <c r="L78" s="272">
        <f>'[1]WL (8&amp;9)'!L77+'[1]WLL (10&amp;11)'!L77+'[1]Mobile (12&amp;13)'!L78</f>
        <v>9818</v>
      </c>
      <c r="M78" s="272">
        <v>13632</v>
      </c>
      <c r="N78" s="272">
        <f>'WL (8&amp;9)'!N77+'WLL (10&amp;11)'!N77+'Mobile (12&amp;13)'!N78</f>
        <v>9330</v>
      </c>
      <c r="O78" s="273">
        <f t="shared" si="1"/>
        <v>144986</v>
      </c>
      <c r="Q78" s="264"/>
    </row>
    <row r="79" spans="1:17" ht="18" customHeight="1">
      <c r="A79" s="562"/>
      <c r="B79" s="548"/>
      <c r="C79" s="257" t="s">
        <v>123</v>
      </c>
      <c r="D79" s="258">
        <v>45327</v>
      </c>
      <c r="E79" s="258">
        <v>7261</v>
      </c>
      <c r="F79" s="258">
        <v>30651</v>
      </c>
      <c r="G79" s="258">
        <v>26425</v>
      </c>
      <c r="H79" s="258">
        <v>44883</v>
      </c>
      <c r="I79" s="258">
        <v>64640</v>
      </c>
      <c r="J79" s="258">
        <v>22009</v>
      </c>
      <c r="K79" s="258">
        <v>19687</v>
      </c>
      <c r="L79" s="258">
        <f>'[1]WL (8&amp;9)'!L78+'[1]WLL (10&amp;11)'!L78+'[1]Mobile (12&amp;13)'!L79</f>
        <v>8655</v>
      </c>
      <c r="M79" s="258">
        <v>36547</v>
      </c>
      <c r="N79" s="258">
        <f>'WL (8&amp;9)'!N78+'WLL (10&amp;11)'!N78+'Mobile (12&amp;13)'!N79</f>
        <v>15134</v>
      </c>
      <c r="O79" s="274">
        <f t="shared" si="1"/>
        <v>321219</v>
      </c>
      <c r="Q79" s="264"/>
    </row>
    <row r="80" spans="1:17" ht="18" customHeight="1" thickBot="1">
      <c r="A80" s="563"/>
      <c r="B80" s="549"/>
      <c r="C80" s="275" t="s">
        <v>124</v>
      </c>
      <c r="D80" s="276">
        <v>-31395</v>
      </c>
      <c r="E80" s="276">
        <v>13426</v>
      </c>
      <c r="F80" s="276">
        <v>-15827</v>
      </c>
      <c r="G80" s="276">
        <v>-10397</v>
      </c>
      <c r="H80" s="276">
        <v>-30136</v>
      </c>
      <c r="I80" s="276">
        <v>-52242</v>
      </c>
      <c r="J80" s="276">
        <v>-9163</v>
      </c>
      <c r="K80" s="276">
        <v>-12943</v>
      </c>
      <c r="L80" s="276">
        <f>L78-L79</f>
        <v>1163</v>
      </c>
      <c r="M80" s="276">
        <v>-22915</v>
      </c>
      <c r="N80" s="276">
        <f>N78-N79</f>
        <v>-5804</v>
      </c>
      <c r="O80" s="277">
        <f t="shared" si="1"/>
        <v>-176233</v>
      </c>
      <c r="Q80" s="264"/>
    </row>
    <row r="81" spans="1:17" ht="18" customHeight="1">
      <c r="A81" s="561">
        <v>26</v>
      </c>
      <c r="B81" s="547" t="s">
        <v>10</v>
      </c>
      <c r="C81" s="271" t="s">
        <v>122</v>
      </c>
      <c r="D81" s="272">
        <v>8443</v>
      </c>
      <c r="E81" s="272">
        <v>8817</v>
      </c>
      <c r="F81" s="272">
        <v>22611</v>
      </c>
      <c r="G81" s="272">
        <v>12436</v>
      </c>
      <c r="H81" s="272">
        <v>11137</v>
      </c>
      <c r="I81" s="272">
        <v>5948</v>
      </c>
      <c r="J81" s="272">
        <v>4711</v>
      </c>
      <c r="K81" s="272">
        <v>4912</v>
      </c>
      <c r="L81" s="272">
        <f>'[1]WL (8&amp;9)'!L80+'[1]WLL (10&amp;11)'!L80+'[1]Mobile (12&amp;13)'!L81</f>
        <v>6051</v>
      </c>
      <c r="M81" s="272">
        <v>5761</v>
      </c>
      <c r="N81" s="272">
        <f>'WL (8&amp;9)'!N80+'WLL (10&amp;11)'!N80+'Mobile (12&amp;13)'!N81</f>
        <v>5591</v>
      </c>
      <c r="O81" s="273">
        <f t="shared" si="1"/>
        <v>96418</v>
      </c>
      <c r="Q81" s="264"/>
    </row>
    <row r="82" spans="1:17" ht="18" customHeight="1">
      <c r="A82" s="562"/>
      <c r="B82" s="548"/>
      <c r="C82" s="257" t="s">
        <v>123</v>
      </c>
      <c r="D82" s="258">
        <v>6857</v>
      </c>
      <c r="E82" s="258">
        <v>10273</v>
      </c>
      <c r="F82" s="258">
        <v>17242</v>
      </c>
      <c r="G82" s="258">
        <v>5706</v>
      </c>
      <c r="H82" s="258">
        <v>7034</v>
      </c>
      <c r="I82" s="258">
        <v>25562</v>
      </c>
      <c r="J82" s="258">
        <v>40746</v>
      </c>
      <c r="K82" s="258">
        <v>57765</v>
      </c>
      <c r="L82" s="258">
        <f>'[1]WL (8&amp;9)'!L81+'[1]WLL (10&amp;11)'!L81+'[1]Mobile (12&amp;13)'!L82</f>
        <v>12715</v>
      </c>
      <c r="M82" s="258">
        <v>7119</v>
      </c>
      <c r="N82" s="258">
        <f>'WL (8&amp;9)'!N81+'WLL (10&amp;11)'!N81+'Mobile (12&amp;13)'!N82</f>
        <v>25343</v>
      </c>
      <c r="O82" s="274">
        <f t="shared" si="1"/>
        <v>216362</v>
      </c>
      <c r="Q82" s="264"/>
    </row>
    <row r="83" spans="1:17" ht="18" customHeight="1" thickBot="1">
      <c r="A83" s="563"/>
      <c r="B83" s="549"/>
      <c r="C83" s="275" t="s">
        <v>124</v>
      </c>
      <c r="D83" s="276">
        <v>1586</v>
      </c>
      <c r="E83" s="276">
        <v>-1456</v>
      </c>
      <c r="F83" s="276">
        <v>5369</v>
      </c>
      <c r="G83" s="276">
        <v>6730</v>
      </c>
      <c r="H83" s="276">
        <v>4103</v>
      </c>
      <c r="I83" s="276">
        <v>-19614</v>
      </c>
      <c r="J83" s="276">
        <v>-36035</v>
      </c>
      <c r="K83" s="276">
        <v>-52853</v>
      </c>
      <c r="L83" s="276">
        <f>L81-L82</f>
        <v>-6664</v>
      </c>
      <c r="M83" s="276">
        <v>-1358</v>
      </c>
      <c r="N83" s="276">
        <f>N81-N82</f>
        <v>-19752</v>
      </c>
      <c r="O83" s="277">
        <f t="shared" si="1"/>
        <v>-119944</v>
      </c>
      <c r="Q83" s="264"/>
    </row>
    <row r="84" spans="1:15" s="265" customFormat="1" ht="18" customHeight="1">
      <c r="A84" s="566"/>
      <c r="B84" s="550" t="s">
        <v>11</v>
      </c>
      <c r="C84" s="278" t="s">
        <v>122</v>
      </c>
      <c r="D84" s="427">
        <v>1926151</v>
      </c>
      <c r="E84" s="272">
        <v>1570879</v>
      </c>
      <c r="F84" s="272">
        <f>F6+F9+F12+F15+F18+F21+F24+F27+F30+F33+F36+F39+F42+F45+F48+F51+F54+F57+F60+F63+F66+F69+F72+F75+F78+F81</f>
        <v>1583485</v>
      </c>
      <c r="G84" s="427">
        <f>G6+G9+G12+G15+G18+G21+G24+G27+G30+G33+G36+G39+G42+G45+G48+G51+G54+G57+G60+G63+G66+G69+G72+G75+G78+G81</f>
        <v>1534170</v>
      </c>
      <c r="H84" s="451">
        <v>1631289</v>
      </c>
      <c r="I84" s="427">
        <v>1578172</v>
      </c>
      <c r="J84" s="427">
        <v>1386001</v>
      </c>
      <c r="K84" s="272">
        <v>883887</v>
      </c>
      <c r="L84" s="427">
        <f aca="true" t="shared" si="2" ref="L84:N86">L6+L9+L12+L15+L18+L21+L24+L27+L30+L33+L36+L39+L42+L45+L48+L51+L54+L57+L60+L63+L66+L69+L72+L75+L78+L81</f>
        <v>1064735</v>
      </c>
      <c r="M84" s="427">
        <v>1126261</v>
      </c>
      <c r="N84" s="427">
        <f t="shared" si="2"/>
        <v>1075127</v>
      </c>
      <c r="O84" s="273">
        <f>SUM(D84:N84)</f>
        <v>15360157</v>
      </c>
    </row>
    <row r="85" spans="1:15" s="265" customFormat="1" ht="18" customHeight="1">
      <c r="A85" s="567"/>
      <c r="B85" s="551"/>
      <c r="C85" s="259" t="s">
        <v>123</v>
      </c>
      <c r="D85" s="323">
        <v>2928263</v>
      </c>
      <c r="E85" s="258">
        <v>2016694</v>
      </c>
      <c r="F85" s="258">
        <f>F7+F10+F13+F16+F19+F22+F25+F28+F31+F34+F37+F40+F43+F46+F49+F52+F55+F58+F61+F64+F67+F70+F73+F76+F79+F82</f>
        <v>1128779</v>
      </c>
      <c r="G85" s="323">
        <f>G7+G10+G13+G16+G19+G22+G25+G28+G31+G34+G37+G40+G43+G46+G49+G52+G55+G58+G61+G64+G67+G70+G73+G76+G79+G82</f>
        <v>1157475</v>
      </c>
      <c r="H85" s="453">
        <v>1264298</v>
      </c>
      <c r="I85" s="323">
        <v>1313101</v>
      </c>
      <c r="J85" s="323">
        <v>1175767</v>
      </c>
      <c r="K85" s="323">
        <v>1045612</v>
      </c>
      <c r="L85" s="323">
        <f t="shared" si="2"/>
        <v>1146049</v>
      </c>
      <c r="M85" s="323">
        <v>1089212</v>
      </c>
      <c r="N85" s="323">
        <f t="shared" si="2"/>
        <v>813956</v>
      </c>
      <c r="O85" s="274">
        <f>SUM(D85:N85)</f>
        <v>15079206</v>
      </c>
    </row>
    <row r="86" spans="1:15" s="265" customFormat="1" ht="18" customHeight="1" thickBot="1">
      <c r="A86" s="568"/>
      <c r="B86" s="552"/>
      <c r="C86" s="279" t="s">
        <v>124</v>
      </c>
      <c r="D86" s="452">
        <v>-1002112</v>
      </c>
      <c r="E86" s="276">
        <v>-445815</v>
      </c>
      <c r="F86" s="276">
        <f>F84-F85</f>
        <v>454706</v>
      </c>
      <c r="G86" s="276">
        <f>G84-G85</f>
        <v>376695</v>
      </c>
      <c r="H86" s="452">
        <v>366991</v>
      </c>
      <c r="I86" s="276">
        <v>265071</v>
      </c>
      <c r="J86" s="276">
        <v>210234</v>
      </c>
      <c r="K86" s="443">
        <v>-161725</v>
      </c>
      <c r="L86" s="258">
        <f t="shared" si="2"/>
        <v>-81314</v>
      </c>
      <c r="M86" s="258">
        <v>37049</v>
      </c>
      <c r="N86" s="258">
        <f t="shared" si="2"/>
        <v>261171</v>
      </c>
      <c r="O86" s="277">
        <f t="shared" si="1"/>
        <v>280951</v>
      </c>
    </row>
    <row r="87" spans="1:15" ht="15" customHeight="1">
      <c r="A87" s="541" t="s">
        <v>149</v>
      </c>
      <c r="B87" s="542"/>
      <c r="C87" s="278" t="s">
        <v>122</v>
      </c>
      <c r="D87" s="404">
        <v>1.926151</v>
      </c>
      <c r="E87" s="404">
        <v>1.570879</v>
      </c>
      <c r="F87" s="404">
        <v>1.628957</v>
      </c>
      <c r="G87" s="404">
        <v>1.53417</v>
      </c>
      <c r="H87" s="404">
        <v>1.613119482053</v>
      </c>
      <c r="I87" s="404">
        <v>1.578172</v>
      </c>
      <c r="J87" s="404">
        <v>1.386001</v>
      </c>
      <c r="K87" s="404">
        <v>0.883887</v>
      </c>
      <c r="L87" s="296">
        <f>L84/1000000</f>
        <v>1.064735</v>
      </c>
      <c r="M87" s="296">
        <v>1.126261</v>
      </c>
      <c r="N87" s="296">
        <f aca="true" t="shared" si="3" ref="N87:O89">N84/1000000</f>
        <v>1.075127</v>
      </c>
      <c r="O87" s="297">
        <f t="shared" si="3"/>
        <v>15.360157</v>
      </c>
    </row>
    <row r="88" spans="1:15" ht="15">
      <c r="A88" s="543"/>
      <c r="B88" s="544"/>
      <c r="C88" s="259" t="s">
        <v>123</v>
      </c>
      <c r="D88" s="406">
        <v>2.928263</v>
      </c>
      <c r="E88" s="406">
        <v>2.016694</v>
      </c>
      <c r="F88" s="406">
        <v>1.174251</v>
      </c>
      <c r="G88" s="406">
        <v>1.157475</v>
      </c>
      <c r="H88" s="406">
        <v>1.251568</v>
      </c>
      <c r="I88" s="406">
        <v>1.313101</v>
      </c>
      <c r="J88" s="406">
        <v>1.175767</v>
      </c>
      <c r="K88" s="406">
        <v>1.045612</v>
      </c>
      <c r="L88" s="184">
        <f>L85/1000000</f>
        <v>1.146049</v>
      </c>
      <c r="M88" s="184">
        <v>1.089212</v>
      </c>
      <c r="N88" s="184">
        <f t="shared" si="3"/>
        <v>0.813956</v>
      </c>
      <c r="O88" s="298">
        <f t="shared" si="3"/>
        <v>15.079206</v>
      </c>
    </row>
    <row r="89" spans="1:15" ht="15.75" thickBot="1">
      <c r="A89" s="545"/>
      <c r="B89" s="546"/>
      <c r="C89" s="279" t="s">
        <v>124</v>
      </c>
      <c r="D89" s="408">
        <v>-1.002112</v>
      </c>
      <c r="E89" s="408">
        <v>-0.445815</v>
      </c>
      <c r="F89" s="408">
        <v>0.454706</v>
      </c>
      <c r="G89" s="408">
        <v>0.376695</v>
      </c>
      <c r="H89" s="408">
        <v>0.36155148205300003</v>
      </c>
      <c r="I89" s="408">
        <v>0.265071</v>
      </c>
      <c r="J89" s="408">
        <v>0.210234</v>
      </c>
      <c r="K89" s="408">
        <v>-0.161725</v>
      </c>
      <c r="L89" s="299">
        <f>L86/1000000</f>
        <v>-0.081314</v>
      </c>
      <c r="M89" s="299">
        <v>0.037049</v>
      </c>
      <c r="N89" s="299">
        <f t="shared" si="3"/>
        <v>0.261171</v>
      </c>
      <c r="O89" s="300">
        <f t="shared" si="3"/>
        <v>0.280951</v>
      </c>
    </row>
    <row r="90" spans="1:15" ht="15">
      <c r="A90" s="134"/>
      <c r="N90" s="134"/>
      <c r="O90" s="134"/>
    </row>
    <row r="91" ht="15" customHeight="1"/>
    <row r="92" ht="15" customHeight="1"/>
    <row r="93" spans="14:15" ht="15" customHeight="1">
      <c r="N93" s="146"/>
      <c r="O93" s="263"/>
    </row>
    <row r="94" spans="14:15" ht="15" customHeight="1">
      <c r="N94" s="146"/>
      <c r="O94" s="263"/>
    </row>
    <row r="95" spans="2:15" ht="15" customHeight="1"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146"/>
      <c r="O95" s="263"/>
    </row>
    <row r="96" spans="2:15" ht="15"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414"/>
    </row>
    <row r="97" spans="2:15" ht="15"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  <c r="O97" s="263"/>
    </row>
    <row r="98" spans="2:15" ht="15"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  <c r="O98" s="263"/>
    </row>
    <row r="99" spans="2:15" ht="15"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  <c r="O99" s="263"/>
    </row>
    <row r="100" spans="2:15" ht="15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  <c r="O100" s="263"/>
    </row>
    <row r="101" spans="2:15" ht="15"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</row>
    <row r="102" spans="14:15" ht="15">
      <c r="N102" s="263"/>
      <c r="O102" s="414"/>
    </row>
  </sheetData>
  <sheetProtection/>
  <mergeCells count="55">
    <mergeCell ref="A54:A56"/>
    <mergeCell ref="A57:A59"/>
    <mergeCell ref="A78:A80"/>
    <mergeCell ref="A81:A83"/>
    <mergeCell ref="A60:A62"/>
    <mergeCell ref="A63:A65"/>
    <mergeCell ref="A66:A68"/>
    <mergeCell ref="A69:A71"/>
    <mergeCell ref="A72:A74"/>
    <mergeCell ref="A75:A77"/>
    <mergeCell ref="A42:A44"/>
    <mergeCell ref="A45:A47"/>
    <mergeCell ref="A48:A50"/>
    <mergeCell ref="A51:A53"/>
    <mergeCell ref="A30:A32"/>
    <mergeCell ref="A33:A35"/>
    <mergeCell ref="A36:A38"/>
    <mergeCell ref="A39:A41"/>
    <mergeCell ref="A18:A20"/>
    <mergeCell ref="A21:A23"/>
    <mergeCell ref="A24:A26"/>
    <mergeCell ref="A27:A29"/>
    <mergeCell ref="A6:A8"/>
    <mergeCell ref="A9:A11"/>
    <mergeCell ref="A12:A14"/>
    <mergeCell ref="A15:A17"/>
    <mergeCell ref="B36:B38"/>
    <mergeCell ref="B39:B41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72:B74"/>
    <mergeCell ref="B75:B77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A87:B89"/>
    <mergeCell ref="B78:B80"/>
    <mergeCell ref="B81:B83"/>
    <mergeCell ref="B84:B86"/>
    <mergeCell ref="A84:A86"/>
  </mergeCells>
  <conditionalFormatting sqref="Y6:Y83">
    <cfRule type="top10" priority="3" dxfId="3" stopIfTrue="1" rank="5" bottom="1"/>
    <cfRule type="top10" priority="4" dxfId="0" stopIfTrue="1" rank="5"/>
  </conditionalFormatting>
  <conditionalFormatting sqref="V6:V83">
    <cfRule type="top10" priority="1" dxfId="1" stopIfTrue="1" rank="10"/>
    <cfRule type="top10" priority="2" dxfId="0" stopIfTrue="1" rank="5"/>
  </conditionalFormatting>
  <printOptions/>
  <pageMargins left="0.7086614173228347" right="0.11811023622047245" top="0.5905511811023623" bottom="0.1968503937007874" header="0.31496062992125984" footer="0.31496062992125984"/>
  <pageSetup horizontalDpi="600" verticalDpi="600" orientation="portrait" paperSize="9" scale="80" r:id="rId1"/>
  <rowBreaks count="1" manualBreakCount="1">
    <brk id="56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7" width="10.7109375" style="0" customWidth="1"/>
    <col min="18" max="18" width="6.140625" style="0" customWidth="1"/>
  </cols>
  <sheetData>
    <row r="1" spans="1:9" ht="12.75">
      <c r="A1" s="241"/>
      <c r="B1" s="241" t="s">
        <v>106</v>
      </c>
      <c r="D1" s="241"/>
      <c r="E1" s="241" t="s">
        <v>107</v>
      </c>
      <c r="H1" s="241"/>
      <c r="I1" s="241"/>
    </row>
    <row r="2" spans="1:17" ht="12.75">
      <c r="A2" s="241" t="s">
        <v>45</v>
      </c>
      <c r="B2" s="242">
        <v>8.33458</v>
      </c>
      <c r="D2" s="241" t="s">
        <v>45</v>
      </c>
      <c r="E2" s="242">
        <v>-1.96601</v>
      </c>
      <c r="H2" s="241"/>
      <c r="I2" s="242"/>
      <c r="N2">
        <v>-196601</v>
      </c>
      <c r="O2">
        <v>-6599</v>
      </c>
      <c r="P2">
        <v>1036658</v>
      </c>
      <c r="Q2">
        <v>833458</v>
      </c>
    </row>
    <row r="3" spans="1:17" ht="12.75">
      <c r="A3" s="241" t="s">
        <v>46</v>
      </c>
      <c r="B3" s="242">
        <v>2.50433</v>
      </c>
      <c r="D3" s="241" t="s">
        <v>46</v>
      </c>
      <c r="E3" s="242">
        <v>-1.73858</v>
      </c>
      <c r="H3" s="241"/>
      <c r="I3" s="242"/>
      <c r="N3">
        <v>-173858</v>
      </c>
      <c r="O3">
        <v>-24755</v>
      </c>
      <c r="P3">
        <v>449046</v>
      </c>
      <c r="Q3">
        <v>250433</v>
      </c>
    </row>
    <row r="4" spans="1:17" ht="12.75">
      <c r="A4" s="241" t="s">
        <v>47</v>
      </c>
      <c r="B4" s="242">
        <v>5.84634</v>
      </c>
      <c r="D4" s="241" t="s">
        <v>47</v>
      </c>
      <c r="E4" s="242">
        <v>-1.81277</v>
      </c>
      <c r="H4" s="241"/>
      <c r="I4" s="242"/>
      <c r="N4">
        <v>-181277</v>
      </c>
      <c r="O4">
        <v>-134267</v>
      </c>
      <c r="P4">
        <v>900178</v>
      </c>
      <c r="Q4">
        <v>584634</v>
      </c>
    </row>
    <row r="5" spans="1:17" ht="12.75">
      <c r="A5" s="241" t="s">
        <v>48</v>
      </c>
      <c r="B5" s="242">
        <v>14.29754</v>
      </c>
      <c r="D5" s="241" t="s">
        <v>48</v>
      </c>
      <c r="E5" s="242">
        <v>-1.66519</v>
      </c>
      <c r="H5" s="241"/>
      <c r="I5" s="242"/>
      <c r="N5">
        <v>-166519</v>
      </c>
      <c r="O5">
        <v>-37059</v>
      </c>
      <c r="P5">
        <v>1633332</v>
      </c>
      <c r="Q5">
        <v>1429754</v>
      </c>
    </row>
    <row r="6" spans="1:17" ht="12.75">
      <c r="A6" s="243" t="s">
        <v>49</v>
      </c>
      <c r="B6" s="244">
        <v>12.21327</v>
      </c>
      <c r="D6" s="243" t="s">
        <v>49</v>
      </c>
      <c r="E6" s="244">
        <v>-1.22302</v>
      </c>
      <c r="H6" s="243"/>
      <c r="I6" s="244"/>
      <c r="N6">
        <v>-81062</v>
      </c>
      <c r="O6">
        <v>-17059</v>
      </c>
      <c r="P6">
        <v>1151990</v>
      </c>
      <c r="Q6">
        <v>1053869</v>
      </c>
    </row>
    <row r="7" spans="1:13" ht="12.75">
      <c r="A7" s="243" t="s">
        <v>50</v>
      </c>
      <c r="B7" s="244">
        <v>13.9329</v>
      </c>
      <c r="D7" s="243" t="s">
        <v>50</v>
      </c>
      <c r="E7" s="242">
        <v>-0.58905</v>
      </c>
      <c r="H7" s="245"/>
      <c r="J7">
        <v>-58904</v>
      </c>
      <c r="K7">
        <v>140662</v>
      </c>
      <c r="L7">
        <v>1313857</v>
      </c>
      <c r="M7">
        <v>1395615</v>
      </c>
    </row>
    <row r="8" spans="1:8" ht="12.75">
      <c r="A8" s="243" t="s">
        <v>51</v>
      </c>
      <c r="B8" s="244">
        <v>5.48261</v>
      </c>
      <c r="D8" s="243" t="s">
        <v>51</v>
      </c>
      <c r="E8" s="244">
        <v>-1.1981</v>
      </c>
      <c r="H8" s="245"/>
    </row>
    <row r="9" spans="1:8" ht="12.75">
      <c r="A9" s="245"/>
      <c r="B9" s="246"/>
      <c r="D9" s="245"/>
      <c r="E9" s="246"/>
      <c r="H9" s="245"/>
    </row>
    <row r="10" spans="1:12" ht="15.75">
      <c r="A10" s="245"/>
      <c r="B10" s="246"/>
      <c r="D10" s="245"/>
      <c r="E10" s="246"/>
      <c r="H10" s="245"/>
      <c r="I10" s="248" t="s">
        <v>119</v>
      </c>
      <c r="L10" s="248" t="s">
        <v>114</v>
      </c>
    </row>
    <row r="11" spans="1:17" ht="18">
      <c r="A11" s="247" t="s">
        <v>105</v>
      </c>
      <c r="N11">
        <v>-1.25356</v>
      </c>
      <c r="O11">
        <v>-0.07685</v>
      </c>
      <c r="P11">
        <v>13.52271</v>
      </c>
      <c r="Q11">
        <v>12.1923</v>
      </c>
    </row>
    <row r="48" ht="15.75">
      <c r="A48" s="248" t="s">
        <v>129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7" width="10.7109375" style="0" customWidth="1"/>
    <col min="18" max="18" width="6.140625" style="0" customWidth="1"/>
  </cols>
  <sheetData>
    <row r="1" spans="1:9" ht="12.75">
      <c r="A1" s="241"/>
      <c r="B1" s="241" t="s">
        <v>108</v>
      </c>
      <c r="D1" s="241"/>
      <c r="E1" s="241" t="s">
        <v>109</v>
      </c>
      <c r="H1" s="241"/>
      <c r="I1" s="241"/>
    </row>
    <row r="2" spans="1:17" ht="12.75">
      <c r="A2" s="241" t="s">
        <v>45</v>
      </c>
      <c r="B2" s="242">
        <v>-0.06599</v>
      </c>
      <c r="D2" s="241" t="s">
        <v>45</v>
      </c>
      <c r="E2" s="242">
        <v>10.36658</v>
      </c>
      <c r="H2" s="241"/>
      <c r="I2" s="242"/>
      <c r="N2">
        <v>-196601</v>
      </c>
      <c r="O2">
        <v>-0.06599</v>
      </c>
      <c r="P2">
        <v>10.36658</v>
      </c>
      <c r="Q2">
        <v>833458</v>
      </c>
    </row>
    <row r="3" spans="1:17" ht="12.75">
      <c r="A3" s="241" t="s">
        <v>46</v>
      </c>
      <c r="B3" s="242">
        <v>-0.24755</v>
      </c>
      <c r="D3" s="241" t="s">
        <v>46</v>
      </c>
      <c r="E3" s="242">
        <v>4.49046</v>
      </c>
      <c r="H3" s="241"/>
      <c r="I3" s="242"/>
      <c r="N3">
        <v>-173858</v>
      </c>
      <c r="O3">
        <v>-0.24755</v>
      </c>
      <c r="P3">
        <v>4.49046</v>
      </c>
      <c r="Q3">
        <v>250433</v>
      </c>
    </row>
    <row r="4" spans="1:17" ht="12.75">
      <c r="A4" s="241" t="s">
        <v>47</v>
      </c>
      <c r="B4" s="242">
        <v>-1.34267</v>
      </c>
      <c r="D4" s="241" t="s">
        <v>47</v>
      </c>
      <c r="E4" s="242">
        <v>9.00178</v>
      </c>
      <c r="H4" s="241"/>
      <c r="I4" s="242"/>
      <c r="N4">
        <v>-181277</v>
      </c>
      <c r="O4">
        <v>-1.34267</v>
      </c>
      <c r="P4">
        <v>9.00178</v>
      </c>
      <c r="Q4">
        <v>584634</v>
      </c>
    </row>
    <row r="5" spans="1:17" ht="12.75">
      <c r="A5" s="241" t="s">
        <v>48</v>
      </c>
      <c r="B5" s="242">
        <v>-0.37059</v>
      </c>
      <c r="D5" s="241" t="s">
        <v>48</v>
      </c>
      <c r="E5" s="242">
        <v>16.33332</v>
      </c>
      <c r="H5" s="241"/>
      <c r="I5" s="242"/>
      <c r="N5">
        <v>-166519</v>
      </c>
      <c r="O5">
        <v>-0.37059</v>
      </c>
      <c r="P5">
        <v>16.33332</v>
      </c>
      <c r="Q5">
        <v>1429754</v>
      </c>
    </row>
    <row r="6" spans="1:17" ht="12.75">
      <c r="A6" s="243" t="s">
        <v>49</v>
      </c>
      <c r="B6" s="249">
        <v>-0.1066</v>
      </c>
      <c r="D6" s="243" t="s">
        <v>49</v>
      </c>
      <c r="E6" s="244">
        <v>13.54289</v>
      </c>
      <c r="H6" s="243"/>
      <c r="I6" s="244"/>
      <c r="N6">
        <v>-81062</v>
      </c>
      <c r="O6">
        <v>-0.17059</v>
      </c>
      <c r="P6">
        <v>11.5199</v>
      </c>
      <c r="Q6">
        <v>1053869</v>
      </c>
    </row>
    <row r="7" spans="1:9" ht="12.75">
      <c r="A7" s="243" t="s">
        <v>50</v>
      </c>
      <c r="B7" s="244">
        <v>1.33237</v>
      </c>
      <c r="D7" s="243" t="s">
        <v>50</v>
      </c>
      <c r="E7" s="244">
        <v>13.18958</v>
      </c>
      <c r="H7" s="245"/>
      <c r="I7" s="246"/>
    </row>
    <row r="8" spans="1:9" ht="12.75">
      <c r="A8" s="243" t="s">
        <v>51</v>
      </c>
      <c r="B8" s="244">
        <v>0.77322</v>
      </c>
      <c r="D8" s="243" t="s">
        <v>51</v>
      </c>
      <c r="E8" s="244">
        <v>5.90749</v>
      </c>
      <c r="H8" s="245"/>
      <c r="I8" s="246"/>
    </row>
    <row r="9" spans="1:9" ht="12.75">
      <c r="A9" s="245"/>
      <c r="B9" s="246"/>
      <c r="D9" s="245"/>
      <c r="E9" s="246"/>
      <c r="H9" s="245"/>
      <c r="I9" s="246"/>
    </row>
    <row r="10" spans="1:12" ht="15.75">
      <c r="A10" s="245"/>
      <c r="B10" s="246"/>
      <c r="D10" s="245"/>
      <c r="E10" s="246"/>
      <c r="H10" s="245"/>
      <c r="I10" s="248" t="s">
        <v>116</v>
      </c>
      <c r="L10" s="248" t="s">
        <v>115</v>
      </c>
    </row>
    <row r="11" ht="18">
      <c r="A11" s="247" t="s">
        <v>105</v>
      </c>
    </row>
    <row r="48" ht="15.75">
      <c r="A48" s="248" t="s">
        <v>129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I56" sqref="I56"/>
    </sheetView>
  </sheetViews>
  <sheetFormatPr defaultColWidth="9.140625" defaultRowHeight="12.75"/>
  <cols>
    <col min="1" max="17" width="10.7109375" style="0" customWidth="1"/>
    <col min="18" max="18" width="6.140625" style="0" customWidth="1"/>
  </cols>
  <sheetData>
    <row r="1" spans="1:9" ht="12.75">
      <c r="A1" s="241"/>
      <c r="B1" s="241" t="s">
        <v>112</v>
      </c>
      <c r="D1" s="241"/>
      <c r="E1" s="241" t="s">
        <v>113</v>
      </c>
      <c r="H1" s="252"/>
      <c r="I1" s="252"/>
    </row>
    <row r="2" spans="1:9" ht="12.75">
      <c r="A2" s="241" t="s">
        <v>45</v>
      </c>
      <c r="B2" s="244">
        <v>0.05338</v>
      </c>
      <c r="D2" s="241" t="s">
        <v>45</v>
      </c>
      <c r="E2" s="255">
        <v>29161</v>
      </c>
      <c r="H2" s="252"/>
      <c r="I2" s="253"/>
    </row>
    <row r="3" spans="1:9" ht="12.75">
      <c r="A3" s="241" t="s">
        <v>46</v>
      </c>
      <c r="B3" s="244">
        <v>1.4107</v>
      </c>
      <c r="D3" s="241" t="s">
        <v>46</v>
      </c>
      <c r="E3" s="255">
        <v>24760</v>
      </c>
      <c r="H3" s="252"/>
      <c r="I3" s="253"/>
    </row>
    <row r="4" spans="1:9" ht="12.75">
      <c r="A4" s="241" t="s">
        <v>47</v>
      </c>
      <c r="B4" s="244">
        <v>1.591</v>
      </c>
      <c r="D4" s="241" t="s">
        <v>47</v>
      </c>
      <c r="E4" s="255">
        <v>24439</v>
      </c>
      <c r="H4" s="252"/>
      <c r="I4" s="253"/>
    </row>
    <row r="5" spans="1:9" ht="12.75">
      <c r="A5" s="241" t="s">
        <v>48</v>
      </c>
      <c r="B5" s="244">
        <v>1.66766</v>
      </c>
      <c r="D5" s="241" t="s">
        <v>48</v>
      </c>
      <c r="E5" s="255">
        <v>16556</v>
      </c>
      <c r="H5" s="252"/>
      <c r="I5" s="253"/>
    </row>
    <row r="6" spans="1:9" ht="12.75">
      <c r="A6" s="243" t="s">
        <v>49</v>
      </c>
      <c r="B6" s="244">
        <v>1.43187</v>
      </c>
      <c r="D6" s="243" t="s">
        <v>49</v>
      </c>
      <c r="E6" s="255">
        <v>25460</v>
      </c>
      <c r="H6" s="245"/>
      <c r="I6" s="246"/>
    </row>
    <row r="7" spans="1:8" ht="12.75">
      <c r="A7" s="243" t="s">
        <v>50</v>
      </c>
      <c r="B7" s="254">
        <v>1.32855</v>
      </c>
      <c r="D7" s="243" t="s">
        <v>50</v>
      </c>
      <c r="E7" s="255">
        <v>14098</v>
      </c>
      <c r="H7" s="245"/>
    </row>
    <row r="8" spans="1:8" ht="12.75">
      <c r="A8" s="243" t="s">
        <v>51</v>
      </c>
      <c r="B8" s="244">
        <v>0.75924</v>
      </c>
      <c r="D8" s="243" t="s">
        <v>51</v>
      </c>
      <c r="E8" s="255">
        <v>14098</v>
      </c>
      <c r="H8" s="245"/>
    </row>
    <row r="9" spans="1:8" ht="12.75">
      <c r="A9" s="245"/>
      <c r="B9" s="266"/>
      <c r="D9" s="245"/>
      <c r="E9" s="267"/>
      <c r="H9" s="245"/>
    </row>
    <row r="10" spans="1:8" ht="12.75">
      <c r="A10" s="245"/>
      <c r="B10" s="246"/>
      <c r="D10" s="245"/>
      <c r="E10" s="256"/>
      <c r="H10" s="245"/>
    </row>
    <row r="11" spans="1:12" ht="15.75">
      <c r="A11" s="245"/>
      <c r="B11" s="246"/>
      <c r="D11" s="245"/>
      <c r="E11" s="256"/>
      <c r="H11" s="245"/>
      <c r="I11" s="248" t="s">
        <v>118</v>
      </c>
      <c r="L11" s="248" t="s">
        <v>117</v>
      </c>
    </row>
    <row r="12" ht="18">
      <c r="A12" s="247" t="s">
        <v>105</v>
      </c>
    </row>
    <row r="49" ht="15.75">
      <c r="A49" s="248" t="s">
        <v>111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A16" sqref="A16"/>
    </sheetView>
  </sheetViews>
  <sheetFormatPr defaultColWidth="9.140625" defaultRowHeight="12.75"/>
  <sheetData>
    <row r="4" spans="1:2" ht="12.75">
      <c r="A4">
        <v>666337</v>
      </c>
      <c r="B4">
        <v>706862</v>
      </c>
    </row>
    <row r="5" spans="1:2" ht="12.75">
      <c r="A5">
        <v>135120</v>
      </c>
      <c r="B5">
        <v>115747</v>
      </c>
    </row>
    <row r="6" spans="1:2" ht="12.75">
      <c r="A6" s="319">
        <f>SUM(A4:A5)</f>
        <v>801457</v>
      </c>
      <c r="B6" s="319">
        <f>SUM(B4:B5)</f>
        <v>822609</v>
      </c>
    </row>
    <row r="7" spans="1:2" ht="12.75">
      <c r="A7" s="319">
        <f>A8+A9+A10+A11+A12</f>
        <v>763928</v>
      </c>
      <c r="B7" s="319">
        <f>B8+B9+B10+B11+B12</f>
        <v>788856</v>
      </c>
    </row>
    <row r="8" spans="1:2" ht="12.75">
      <c r="A8">
        <v>286107</v>
      </c>
      <c r="B8">
        <v>228419</v>
      </c>
    </row>
    <row r="9" spans="1:2" ht="12.75">
      <c r="A9">
        <v>198981</v>
      </c>
      <c r="B9">
        <v>269501</v>
      </c>
    </row>
    <row r="10" spans="1:2" ht="12.75">
      <c r="A10">
        <v>57587</v>
      </c>
      <c r="B10">
        <v>68195</v>
      </c>
    </row>
    <row r="11" spans="1:2" ht="12.75">
      <c r="A11">
        <v>9809</v>
      </c>
      <c r="B11">
        <v>9827</v>
      </c>
    </row>
    <row r="12" spans="1:2" ht="12.75">
      <c r="A12">
        <v>211444</v>
      </c>
      <c r="B12">
        <v>212914</v>
      </c>
    </row>
    <row r="13" spans="1:2" ht="12.75">
      <c r="A13" s="319">
        <f>A6-A7</f>
        <v>37529</v>
      </c>
      <c r="B13" s="319">
        <f>B6-B7</f>
        <v>33753</v>
      </c>
    </row>
    <row r="14" spans="1:2" ht="12.75">
      <c r="A14">
        <v>-278</v>
      </c>
      <c r="B14">
        <v>-1590</v>
      </c>
    </row>
    <row r="15" spans="1:2" ht="12.75">
      <c r="A15">
        <f>SUM(A13:A14)</f>
        <v>37251</v>
      </c>
      <c r="B15">
        <f>SUM(B13:B14)</f>
        <v>32163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73"/>
  <sheetViews>
    <sheetView zoomScaleSheetLayoutView="100" workbookViewId="0" topLeftCell="A1">
      <pane xSplit="2" ySplit="6" topLeftCell="M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X1" sqref="X1"/>
    </sheetView>
  </sheetViews>
  <sheetFormatPr defaultColWidth="7.8515625" defaultRowHeight="12.75"/>
  <cols>
    <col min="1" max="1" width="4.421875" style="4" customWidth="1"/>
    <col min="2" max="2" width="12.00390625" style="4" customWidth="1"/>
    <col min="3" max="18" width="12.28125" style="4" hidden="1" customWidth="1"/>
    <col min="19" max="19" width="9.8515625" style="4" customWidth="1"/>
    <col min="20" max="20" width="9.140625" style="4" customWidth="1"/>
    <col min="21" max="21" width="10.7109375" style="4" customWidth="1"/>
    <col min="22" max="22" width="12.28125" style="4" customWidth="1"/>
    <col min="23" max="23" width="11.140625" style="4" customWidth="1"/>
    <col min="24" max="24" width="11.00390625" style="4" customWidth="1"/>
    <col min="25" max="25" width="11.421875" style="4" customWidth="1"/>
    <col min="26" max="26" width="12.00390625" style="4" customWidth="1"/>
    <col min="27" max="30" width="9.7109375" style="4" customWidth="1"/>
    <col min="31" max="31" width="9.28125" style="4" customWidth="1"/>
    <col min="32" max="32" width="9.8515625" style="4" customWidth="1"/>
    <col min="33" max="36" width="11.28125" style="4" customWidth="1"/>
    <col min="37" max="38" width="11.7109375" style="4" customWidth="1"/>
    <col min="39" max="39" width="11.421875" style="4" customWidth="1"/>
    <col min="40" max="40" width="5.57421875" style="4" customWidth="1"/>
    <col min="41" max="41" width="4.57421875" style="4" customWidth="1"/>
    <col min="42" max="42" width="7.8515625" style="4" customWidth="1"/>
    <col min="43" max="43" width="11.421875" style="4" bestFit="1" customWidth="1"/>
    <col min="44" max="44" width="10.7109375" style="4" customWidth="1"/>
    <col min="45" max="45" width="11.421875" style="4" bestFit="1" customWidth="1"/>
    <col min="46" max="46" width="12.00390625" style="4" customWidth="1"/>
    <col min="47" max="48" width="10.28125" style="4" customWidth="1"/>
    <col min="49" max="49" width="11.57421875" style="4" customWidth="1"/>
    <col min="50" max="50" width="10.28125" style="4" customWidth="1"/>
    <col min="51" max="51" width="11.28125" style="4" customWidth="1"/>
    <col min="52" max="52" width="7.28125" style="4" customWidth="1"/>
    <col min="53" max="58" width="7.8515625" style="4" customWidth="1"/>
    <col min="59" max="59" width="13.7109375" style="4" customWidth="1"/>
    <col min="60" max="16384" width="7.8515625" style="4" customWidth="1"/>
  </cols>
  <sheetData>
    <row r="1" spans="1:38" ht="18" customHeight="1">
      <c r="A1" s="5"/>
      <c r="B1" s="5"/>
      <c r="C1" s="5"/>
      <c r="D1" s="5"/>
      <c r="E1" s="5"/>
      <c r="F1" s="5"/>
      <c r="G1" s="5"/>
      <c r="H1" s="5"/>
      <c r="I1" s="425"/>
      <c r="J1" s="429"/>
      <c r="K1" s="423"/>
      <c r="L1" s="5"/>
      <c r="M1" s="425"/>
      <c r="N1" s="5"/>
      <c r="O1" s="5"/>
      <c r="P1" s="5"/>
      <c r="Q1" s="5"/>
      <c r="R1" s="5"/>
      <c r="U1" s="425"/>
      <c r="V1" s="5"/>
      <c r="W1" s="169"/>
      <c r="X1" s="429"/>
      <c r="Y1" s="5"/>
      <c r="Z1" s="5"/>
      <c r="AB1" s="17"/>
      <c r="AC1" s="136"/>
      <c r="AE1" s="1" t="str">
        <f>'Feb 13(1)'!S1</f>
        <v>No.1-2(1)/2012-CP&amp;M-LTP    </v>
      </c>
      <c r="AF1" s="5"/>
      <c r="AG1" s="5"/>
      <c r="AH1" s="5"/>
      <c r="AI1" s="5"/>
      <c r="AJ1" s="5"/>
      <c r="AK1" s="71" t="s">
        <v>198</v>
      </c>
      <c r="AL1" s="5"/>
    </row>
    <row r="2" spans="1:38" ht="15.75" customHeight="1">
      <c r="A2" s="41" t="s">
        <v>204</v>
      </c>
      <c r="B2" s="39"/>
      <c r="C2" s="39"/>
      <c r="D2" s="39"/>
      <c r="E2" s="39"/>
      <c r="F2" s="39"/>
      <c r="G2" s="39"/>
      <c r="H2" s="39"/>
      <c r="I2" s="449"/>
      <c r="J2" s="201"/>
      <c r="K2" s="376"/>
      <c r="L2" s="39"/>
      <c r="M2" s="39"/>
      <c r="N2" s="39"/>
      <c r="O2" s="39"/>
      <c r="P2" s="39"/>
      <c r="Q2" s="187"/>
      <c r="R2" s="39"/>
      <c r="U2" s="39"/>
      <c r="V2" s="39"/>
      <c r="W2" s="39"/>
      <c r="X2" s="39"/>
      <c r="Y2" s="187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</row>
    <row r="3" spans="1:38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9" t="s">
        <v>38</v>
      </c>
      <c r="AB3" s="1"/>
      <c r="AC3" s="58">
        <f>1</f>
        <v>1</v>
      </c>
      <c r="AD3" s="58" t="str">
        <f>'Feb 13(1)'!K56</f>
        <v>Feb</v>
      </c>
      <c r="AE3" s="1"/>
      <c r="AF3" s="1"/>
      <c r="AG3" s="1"/>
      <c r="AH3" s="1"/>
      <c r="AI3" s="1"/>
      <c r="AJ3" s="1"/>
      <c r="AK3" s="1"/>
      <c r="AL3" s="1"/>
    </row>
    <row r="4" spans="1:51" ht="29.25" customHeight="1">
      <c r="A4" s="474" t="s">
        <v>18</v>
      </c>
      <c r="B4" s="474" t="s">
        <v>17</v>
      </c>
      <c r="C4" s="473" t="s">
        <v>77</v>
      </c>
      <c r="D4" s="473"/>
      <c r="E4" s="473"/>
      <c r="F4" s="473"/>
      <c r="G4" s="473"/>
      <c r="H4" s="473"/>
      <c r="I4" s="473"/>
      <c r="J4" s="473"/>
      <c r="K4" s="473" t="s">
        <v>78</v>
      </c>
      <c r="L4" s="473"/>
      <c r="M4" s="473"/>
      <c r="N4" s="473"/>
      <c r="O4" s="473"/>
      <c r="P4" s="473"/>
      <c r="Q4" s="473"/>
      <c r="R4" s="473"/>
      <c r="S4" s="473" t="s">
        <v>28</v>
      </c>
      <c r="T4" s="473"/>
      <c r="U4" s="473"/>
      <c r="V4" s="473"/>
      <c r="W4" s="473"/>
      <c r="X4" s="473"/>
      <c r="Y4" s="473"/>
      <c r="Z4" s="473"/>
      <c r="AA4" s="465" t="s">
        <v>196</v>
      </c>
      <c r="AB4" s="465"/>
      <c r="AC4" s="465"/>
      <c r="AD4" s="465"/>
      <c r="AE4" s="473" t="s">
        <v>74</v>
      </c>
      <c r="AF4" s="473"/>
      <c r="AG4" s="473"/>
      <c r="AH4" s="473"/>
      <c r="AI4" s="473"/>
      <c r="AJ4" s="473"/>
      <c r="AK4" s="473"/>
      <c r="AL4" s="473"/>
      <c r="AQ4" s="473" t="s">
        <v>205</v>
      </c>
      <c r="AR4" s="473"/>
      <c r="AS4" s="473"/>
      <c r="AT4" s="473" t="s">
        <v>206</v>
      </c>
      <c r="AU4" s="473"/>
      <c r="AV4" s="473"/>
      <c r="AW4" s="473" t="s">
        <v>207</v>
      </c>
      <c r="AX4" s="473"/>
      <c r="AY4" s="473"/>
    </row>
    <row r="5" spans="1:51" ht="18" customHeight="1">
      <c r="A5" s="475"/>
      <c r="B5" s="475"/>
      <c r="C5" s="473" t="s">
        <v>27</v>
      </c>
      <c r="D5" s="473"/>
      <c r="E5" s="473"/>
      <c r="F5" s="473"/>
      <c r="G5" s="473" t="s">
        <v>178</v>
      </c>
      <c r="H5" s="473"/>
      <c r="I5" s="473"/>
      <c r="J5" s="473"/>
      <c r="K5" s="473" t="s">
        <v>27</v>
      </c>
      <c r="L5" s="473"/>
      <c r="M5" s="473"/>
      <c r="N5" s="473"/>
      <c r="O5" s="473" t="s">
        <v>178</v>
      </c>
      <c r="P5" s="473"/>
      <c r="Q5" s="473"/>
      <c r="R5" s="473"/>
      <c r="S5" s="467" t="s">
        <v>27</v>
      </c>
      <c r="T5" s="468"/>
      <c r="U5" s="468"/>
      <c r="V5" s="469"/>
      <c r="W5" s="489" t="s">
        <v>178</v>
      </c>
      <c r="X5" s="490"/>
      <c r="Y5" s="490"/>
      <c r="Z5" s="491"/>
      <c r="AA5" s="465"/>
      <c r="AB5" s="465"/>
      <c r="AC5" s="465"/>
      <c r="AD5" s="465"/>
      <c r="AE5" s="467" t="s">
        <v>75</v>
      </c>
      <c r="AF5" s="468"/>
      <c r="AG5" s="468"/>
      <c r="AH5" s="469"/>
      <c r="AI5" s="489" t="s">
        <v>179</v>
      </c>
      <c r="AJ5" s="490"/>
      <c r="AK5" s="490"/>
      <c r="AL5" s="491"/>
      <c r="AQ5" s="473"/>
      <c r="AR5" s="473"/>
      <c r="AS5" s="473"/>
      <c r="AT5" s="473"/>
      <c r="AU5" s="473"/>
      <c r="AV5" s="473"/>
      <c r="AW5" s="473"/>
      <c r="AX5" s="473"/>
      <c r="AY5" s="473"/>
    </row>
    <row r="6" spans="1:51" ht="29.25" customHeight="1">
      <c r="A6" s="476"/>
      <c r="B6" s="476"/>
      <c r="C6" s="12" t="s">
        <v>26</v>
      </c>
      <c r="D6" s="12" t="s">
        <v>21</v>
      </c>
      <c r="E6" s="12" t="s">
        <v>1</v>
      </c>
      <c r="F6" s="135" t="s">
        <v>2</v>
      </c>
      <c r="G6" s="12" t="s">
        <v>26</v>
      </c>
      <c r="H6" s="12" t="s">
        <v>22</v>
      </c>
      <c r="I6" s="135" t="s">
        <v>1</v>
      </c>
      <c r="J6" s="37" t="s">
        <v>2</v>
      </c>
      <c r="K6" s="12" t="s">
        <v>26</v>
      </c>
      <c r="L6" s="12" t="s">
        <v>21</v>
      </c>
      <c r="M6" s="12" t="s">
        <v>1</v>
      </c>
      <c r="N6" s="12" t="s">
        <v>2</v>
      </c>
      <c r="O6" s="12" t="s">
        <v>26</v>
      </c>
      <c r="P6" s="12" t="s">
        <v>22</v>
      </c>
      <c r="Q6" s="12" t="s">
        <v>1</v>
      </c>
      <c r="R6" s="37" t="s">
        <v>2</v>
      </c>
      <c r="S6" s="12" t="s">
        <v>26</v>
      </c>
      <c r="T6" s="12" t="s">
        <v>21</v>
      </c>
      <c r="U6" s="12" t="s">
        <v>1</v>
      </c>
      <c r="V6" s="12" t="s">
        <v>2</v>
      </c>
      <c r="W6" s="12" t="s">
        <v>26</v>
      </c>
      <c r="X6" s="12" t="s">
        <v>22</v>
      </c>
      <c r="Y6" s="12" t="s">
        <v>1</v>
      </c>
      <c r="Z6" s="37" t="s">
        <v>2</v>
      </c>
      <c r="AA6" s="12" t="s">
        <v>26</v>
      </c>
      <c r="AB6" s="12" t="s">
        <v>20</v>
      </c>
      <c r="AC6" s="12" t="s">
        <v>1</v>
      </c>
      <c r="AD6" s="12" t="s">
        <v>2</v>
      </c>
      <c r="AE6" s="12" t="s">
        <v>26</v>
      </c>
      <c r="AF6" s="12" t="s">
        <v>21</v>
      </c>
      <c r="AG6" s="12" t="s">
        <v>1</v>
      </c>
      <c r="AH6" s="12" t="s">
        <v>2</v>
      </c>
      <c r="AI6" s="12" t="s">
        <v>26</v>
      </c>
      <c r="AJ6" s="12" t="s">
        <v>22</v>
      </c>
      <c r="AK6" s="12" t="s">
        <v>1</v>
      </c>
      <c r="AL6" s="37" t="s">
        <v>2</v>
      </c>
      <c r="AQ6" s="12" t="s">
        <v>26</v>
      </c>
      <c r="AR6" s="12" t="s">
        <v>22</v>
      </c>
      <c r="AS6" s="12" t="s">
        <v>1</v>
      </c>
      <c r="AT6" s="12" t="s">
        <v>26</v>
      </c>
      <c r="AU6" s="12" t="s">
        <v>22</v>
      </c>
      <c r="AV6" s="12" t="s">
        <v>1</v>
      </c>
      <c r="AW6" s="12" t="s">
        <v>26</v>
      </c>
      <c r="AX6" s="12" t="s">
        <v>22</v>
      </c>
      <c r="AY6" s="12" t="s">
        <v>1</v>
      </c>
    </row>
    <row r="7" spans="1:54" ht="25.5" customHeight="1">
      <c r="A7" s="24">
        <v>1</v>
      </c>
      <c r="B7" s="25" t="s">
        <v>39</v>
      </c>
      <c r="C7" s="35">
        <v>25</v>
      </c>
      <c r="D7" s="35">
        <v>13</v>
      </c>
      <c r="E7" s="35">
        <v>0</v>
      </c>
      <c r="F7" s="35">
        <f>SUM(C7:E7)</f>
        <v>38</v>
      </c>
      <c r="G7" s="35">
        <f>C7+AQ7</f>
        <v>946</v>
      </c>
      <c r="H7" s="35">
        <f aca="true" t="shared" si="0" ref="G7:I10">D7+AR7</f>
        <v>640</v>
      </c>
      <c r="I7" s="35">
        <f t="shared" si="0"/>
        <v>160</v>
      </c>
      <c r="J7" s="35">
        <f>SUM(G7:I7)</f>
        <v>1746</v>
      </c>
      <c r="K7" s="35">
        <v>0</v>
      </c>
      <c r="L7" s="35">
        <v>392</v>
      </c>
      <c r="M7" s="35">
        <v>76</v>
      </c>
      <c r="N7" s="26">
        <f>SUM(K7:M7)</f>
        <v>468</v>
      </c>
      <c r="O7" s="26">
        <f aca="true" t="shared" si="1" ref="O7:Q10">K7+AT7</f>
        <v>2137</v>
      </c>
      <c r="P7" s="26">
        <f t="shared" si="1"/>
        <v>2930</v>
      </c>
      <c r="Q7" s="26">
        <f t="shared" si="1"/>
        <v>11470</v>
      </c>
      <c r="R7" s="26">
        <f>SUM(O7:Q7)</f>
        <v>16537</v>
      </c>
      <c r="S7" s="35">
        <f aca="true" t="shared" si="2" ref="S7:U11">K7+C7</f>
        <v>25</v>
      </c>
      <c r="T7" s="35">
        <f t="shared" si="2"/>
        <v>405</v>
      </c>
      <c r="U7" s="35">
        <f t="shared" si="2"/>
        <v>76</v>
      </c>
      <c r="V7" s="26">
        <f>S7+T7+U7</f>
        <v>506</v>
      </c>
      <c r="W7" s="26">
        <f aca="true" t="shared" si="3" ref="W7:Y10">S7+AW7</f>
        <v>3083</v>
      </c>
      <c r="X7" s="26">
        <f t="shared" si="3"/>
        <v>3570</v>
      </c>
      <c r="Y7" s="26">
        <f t="shared" si="3"/>
        <v>11630</v>
      </c>
      <c r="Z7" s="26">
        <f>W7+X7+Y7</f>
        <v>18283</v>
      </c>
      <c r="AA7" s="163">
        <f>W7*(1/AC3)/'Feb 13(1)'!C6*100</f>
        <v>19.382622909593863</v>
      </c>
      <c r="AB7" s="163">
        <f>X7*(1/AC3)/'Feb 13(1)'!D6*100</f>
        <v>35.821794099939794</v>
      </c>
      <c r="AC7" s="163">
        <f>Y7*(1/AC3)/'Feb 13(1)'!E6*100</f>
        <v>6.352865344382111</v>
      </c>
      <c r="AD7" s="163">
        <f>Z7*(1/AC3)/'Feb 13(1)'!F6*100</f>
        <v>8.75040083469338</v>
      </c>
      <c r="AE7" s="26">
        <f>S7+'Feb 13(1)'!S6</f>
        <v>352</v>
      </c>
      <c r="AF7" s="26">
        <f>T7+'Feb 13(1)'!T6</f>
        <v>224</v>
      </c>
      <c r="AG7" s="26">
        <f>U7+'Feb 13(1)'!U6</f>
        <v>2393</v>
      </c>
      <c r="AH7" s="26">
        <f>SUM(AE7:AG7)</f>
        <v>2969</v>
      </c>
      <c r="AI7" s="26">
        <f>W7+'Feb 13(1)'!W6</f>
        <v>1127</v>
      </c>
      <c r="AJ7" s="26">
        <f>X7+'Feb 13(1)'!X6</f>
        <v>4628</v>
      </c>
      <c r="AK7" s="26">
        <f>Y7+'Feb 13(1)'!Y6</f>
        <v>31612</v>
      </c>
      <c r="AL7" s="26">
        <f>SUM(AI7:AK7)</f>
        <v>37367</v>
      </c>
      <c r="AM7" s="8"/>
      <c r="AN7" s="8"/>
      <c r="AO7" s="8"/>
      <c r="AP7" s="8"/>
      <c r="AQ7" s="42">
        <v>921</v>
      </c>
      <c r="AR7" s="42">
        <v>627</v>
      </c>
      <c r="AS7" s="42">
        <v>160</v>
      </c>
      <c r="AT7" s="258">
        <v>2137</v>
      </c>
      <c r="AU7" s="258">
        <v>2538</v>
      </c>
      <c r="AV7" s="258">
        <v>11394</v>
      </c>
      <c r="AW7" s="42">
        <v>3058</v>
      </c>
      <c r="AX7" s="42">
        <v>3165</v>
      </c>
      <c r="AY7" s="42">
        <v>11554</v>
      </c>
      <c r="AZ7" s="4">
        <f>AW7-AT7-AQ7</f>
        <v>0</v>
      </c>
      <c r="BA7" s="4">
        <f>AX7-AU7-AR7</f>
        <v>0</v>
      </c>
      <c r="BB7" s="4">
        <f>AY7-AV7-AS7</f>
        <v>0</v>
      </c>
    </row>
    <row r="8" spans="1:54" ht="25.5" customHeight="1">
      <c r="A8" s="27">
        <v>2</v>
      </c>
      <c r="B8" s="28" t="s">
        <v>65</v>
      </c>
      <c r="C8" s="33">
        <v>13791</v>
      </c>
      <c r="D8" s="33">
        <v>22539</v>
      </c>
      <c r="E8" s="33">
        <v>43904</v>
      </c>
      <c r="F8" s="29">
        <f aca="true" t="shared" si="4" ref="F8:F32">SUM(C8:E8)</f>
        <v>80234</v>
      </c>
      <c r="G8" s="29">
        <f t="shared" si="0"/>
        <v>156176</v>
      </c>
      <c r="H8" s="29">
        <f t="shared" si="0"/>
        <v>153491</v>
      </c>
      <c r="I8" s="29">
        <f>E8+AS8</f>
        <v>1335897</v>
      </c>
      <c r="J8" s="29">
        <f aca="true" t="shared" si="5" ref="J8:J32">SUM(G8:I8)</f>
        <v>1645564</v>
      </c>
      <c r="K8" s="33">
        <v>12238</v>
      </c>
      <c r="L8" s="33">
        <v>0</v>
      </c>
      <c r="M8" s="33">
        <v>629</v>
      </c>
      <c r="N8" s="29">
        <f aca="true" t="shared" si="6" ref="N8:N32">SUM(K8:M8)</f>
        <v>12867</v>
      </c>
      <c r="O8" s="29">
        <f t="shared" si="1"/>
        <v>122289</v>
      </c>
      <c r="P8" s="29">
        <f t="shared" si="1"/>
        <v>0</v>
      </c>
      <c r="Q8" s="29">
        <f t="shared" si="1"/>
        <v>12159</v>
      </c>
      <c r="R8" s="29">
        <f aca="true" t="shared" si="7" ref="R8:R32">SUM(O8:Q8)</f>
        <v>134448</v>
      </c>
      <c r="S8" s="33">
        <f t="shared" si="2"/>
        <v>26029</v>
      </c>
      <c r="T8" s="33">
        <f t="shared" si="2"/>
        <v>22539</v>
      </c>
      <c r="U8" s="33">
        <f t="shared" si="2"/>
        <v>44533</v>
      </c>
      <c r="V8" s="29">
        <f aca="true" t="shared" si="8" ref="V8:V32">S8+T8+U8</f>
        <v>93101</v>
      </c>
      <c r="W8" s="29">
        <f t="shared" si="3"/>
        <v>278465</v>
      </c>
      <c r="X8" s="29">
        <f t="shared" si="3"/>
        <v>153491</v>
      </c>
      <c r="Y8" s="29">
        <f t="shared" si="3"/>
        <v>1348056</v>
      </c>
      <c r="Z8" s="29">
        <f aca="true" t="shared" si="9" ref="Z8:Z32">W8+X8+Y8</f>
        <v>1780012</v>
      </c>
      <c r="AA8" s="164">
        <f>W8*(1/AC3)/'Feb 13(1)'!C7*100</f>
        <v>14.13484868481163</v>
      </c>
      <c r="AB8" s="164">
        <f>X8*(1/AC3)/'Feb 13(1)'!D7*100</f>
        <v>71.07282265943702</v>
      </c>
      <c r="AC8" s="164">
        <f>Y8*(1/AC3)/'Feb 13(1)'!E7*100</f>
        <v>15.311374765767278</v>
      </c>
      <c r="AD8" s="164">
        <f>Z8*(1/AC3)/'Feb 13(1)'!F7*100</f>
        <v>16.196207910957124</v>
      </c>
      <c r="AE8" s="29">
        <f>S8+'Feb 13(1)'!S7</f>
        <v>15200</v>
      </c>
      <c r="AF8" s="29">
        <f>T8+'Feb 13(1)'!T7</f>
        <v>1740</v>
      </c>
      <c r="AG8" s="29">
        <f>U8+'Feb 13(1)'!U7</f>
        <v>101424</v>
      </c>
      <c r="AH8" s="29">
        <f aca="true" t="shared" si="10" ref="AH8:AH32">SUM(AE8:AG8)</f>
        <v>118364</v>
      </c>
      <c r="AI8" s="29">
        <f>W8+'Feb 13(1)'!W7</f>
        <v>165668</v>
      </c>
      <c r="AJ8" s="29">
        <f>X8+'Feb 13(1)'!X7</f>
        <v>27311</v>
      </c>
      <c r="AK8" s="29">
        <f>Y8+'Feb 13(1)'!Y7</f>
        <v>1747373</v>
      </c>
      <c r="AL8" s="29">
        <f aca="true" t="shared" si="11" ref="AL8:AL32">SUM(AI8:AK8)</f>
        <v>1940352</v>
      </c>
      <c r="AM8" s="8"/>
      <c r="AN8" s="8"/>
      <c r="AO8" s="8"/>
      <c r="AP8" s="8"/>
      <c r="AQ8" s="42">
        <v>142385</v>
      </c>
      <c r="AR8" s="42">
        <v>130952</v>
      </c>
      <c r="AS8" s="42">
        <v>1291993</v>
      </c>
      <c r="AT8" s="258">
        <v>110051</v>
      </c>
      <c r="AU8" s="258">
        <v>0</v>
      </c>
      <c r="AV8" s="258">
        <v>11530</v>
      </c>
      <c r="AW8" s="42">
        <v>252436</v>
      </c>
      <c r="AX8" s="42">
        <v>130952</v>
      </c>
      <c r="AY8" s="42">
        <v>1303523</v>
      </c>
      <c r="AZ8" s="4">
        <f aca="true" t="shared" si="12" ref="AZ8:BB31">AW8-AT8-AQ8</f>
        <v>0</v>
      </c>
      <c r="BA8" s="4">
        <f t="shared" si="12"/>
        <v>0</v>
      </c>
      <c r="BB8" s="4">
        <f t="shared" si="12"/>
        <v>0</v>
      </c>
    </row>
    <row r="9" spans="1:54" ht="25.5" customHeight="1">
      <c r="A9" s="30">
        <v>3</v>
      </c>
      <c r="B9" s="31" t="s">
        <v>3</v>
      </c>
      <c r="C9" s="34">
        <v>2082</v>
      </c>
      <c r="D9" s="34">
        <v>149</v>
      </c>
      <c r="E9" s="34">
        <v>18961</v>
      </c>
      <c r="F9" s="32">
        <f t="shared" si="4"/>
        <v>21192</v>
      </c>
      <c r="G9" s="32">
        <f t="shared" si="0"/>
        <v>44663</v>
      </c>
      <c r="H9" s="32">
        <f t="shared" si="0"/>
        <v>8068</v>
      </c>
      <c r="I9" s="32">
        <f t="shared" si="0"/>
        <v>299568</v>
      </c>
      <c r="J9" s="32">
        <f t="shared" si="5"/>
        <v>352299</v>
      </c>
      <c r="K9" s="34">
        <v>0</v>
      </c>
      <c r="L9" s="34">
        <v>0</v>
      </c>
      <c r="M9" s="34">
        <v>0</v>
      </c>
      <c r="N9" s="32">
        <f t="shared" si="6"/>
        <v>0</v>
      </c>
      <c r="O9" s="32">
        <f t="shared" si="1"/>
        <v>1870</v>
      </c>
      <c r="P9" s="32">
        <f t="shared" si="1"/>
        <v>10702</v>
      </c>
      <c r="Q9" s="32">
        <f t="shared" si="1"/>
        <v>0</v>
      </c>
      <c r="R9" s="32">
        <f t="shared" si="7"/>
        <v>12572</v>
      </c>
      <c r="S9" s="34">
        <f t="shared" si="2"/>
        <v>2082</v>
      </c>
      <c r="T9" s="34">
        <f t="shared" si="2"/>
        <v>149</v>
      </c>
      <c r="U9" s="34">
        <f t="shared" si="2"/>
        <v>18961</v>
      </c>
      <c r="V9" s="32">
        <f t="shared" si="8"/>
        <v>21192</v>
      </c>
      <c r="W9" s="32">
        <f t="shared" si="3"/>
        <v>46533</v>
      </c>
      <c r="X9" s="32">
        <f t="shared" si="3"/>
        <v>18770</v>
      </c>
      <c r="Y9" s="32">
        <f t="shared" si="3"/>
        <v>299568</v>
      </c>
      <c r="Z9" s="32">
        <f t="shared" si="9"/>
        <v>364871</v>
      </c>
      <c r="AA9" s="165">
        <f>W9*(1/AC3)/'Feb 13(1)'!C8*100</f>
        <v>20.47846005571472</v>
      </c>
      <c r="AB9" s="165">
        <f>X9*(1/AC3)/'Feb 13(1)'!D8*100</f>
        <v>18.065447545717035</v>
      </c>
      <c r="AC9" s="165">
        <f>Y9*(1/AC3)/'Feb 13(1)'!E8*100</f>
        <v>25.791942859061596</v>
      </c>
      <c r="AD9" s="165">
        <f>Z9*(1/AC3)/'Feb 13(1)'!F8*100</f>
        <v>24.44519927536232</v>
      </c>
      <c r="AE9" s="32">
        <f>S9+'Feb 13(1)'!S8</f>
        <v>1601</v>
      </c>
      <c r="AF9" s="32">
        <f>T9+'Feb 13(1)'!T8</f>
        <v>1288</v>
      </c>
      <c r="AG9" s="32">
        <f>U9+'Feb 13(1)'!U8</f>
        <v>20568</v>
      </c>
      <c r="AH9" s="32">
        <f>SUM(AE9:AG9)</f>
        <v>23457</v>
      </c>
      <c r="AI9" s="32">
        <f>W9+'Feb 13(1)'!W8</f>
        <v>12788</v>
      </c>
      <c r="AJ9" s="32">
        <f>X9+'Feb 13(1)'!X8</f>
        <v>6041</v>
      </c>
      <c r="AK9" s="32">
        <f>Y9+'Feb 13(1)'!Y8</f>
        <v>280582</v>
      </c>
      <c r="AL9" s="32">
        <f t="shared" si="11"/>
        <v>299411</v>
      </c>
      <c r="AM9" s="8"/>
      <c r="AN9" s="8"/>
      <c r="AO9" s="8"/>
      <c r="AP9" s="8"/>
      <c r="AQ9" s="42">
        <v>42581</v>
      </c>
      <c r="AR9" s="42">
        <v>7919</v>
      </c>
      <c r="AS9" s="42">
        <v>280607</v>
      </c>
      <c r="AT9" s="258">
        <v>1870</v>
      </c>
      <c r="AU9" s="258">
        <v>10702</v>
      </c>
      <c r="AV9" s="258">
        <v>0</v>
      </c>
      <c r="AW9" s="42">
        <v>44451</v>
      </c>
      <c r="AX9" s="42">
        <v>18621</v>
      </c>
      <c r="AY9" s="42">
        <v>280607</v>
      </c>
      <c r="AZ9" s="4">
        <f t="shared" si="12"/>
        <v>0</v>
      </c>
      <c r="BA9" s="4">
        <f t="shared" si="12"/>
        <v>0</v>
      </c>
      <c r="BB9" s="4">
        <f t="shared" si="12"/>
        <v>0</v>
      </c>
    </row>
    <row r="10" spans="1:54" ht="25.5" customHeight="1">
      <c r="A10" s="24">
        <v>4</v>
      </c>
      <c r="B10" s="25" t="s">
        <v>31</v>
      </c>
      <c r="C10" s="35">
        <v>1250</v>
      </c>
      <c r="D10" s="35">
        <f>12144+0</f>
        <v>12144</v>
      </c>
      <c r="E10" s="35">
        <v>63838</v>
      </c>
      <c r="F10" s="26">
        <f>SUM(C10:E10)</f>
        <v>77232</v>
      </c>
      <c r="G10" s="26">
        <f t="shared" si="0"/>
        <v>12878</v>
      </c>
      <c r="H10" s="26">
        <f t="shared" si="0"/>
        <v>182369</v>
      </c>
      <c r="I10" s="26">
        <f t="shared" si="0"/>
        <v>726589</v>
      </c>
      <c r="J10" s="26">
        <f t="shared" si="5"/>
        <v>921836</v>
      </c>
      <c r="K10" s="35">
        <v>0</v>
      </c>
      <c r="L10" s="35">
        <v>0</v>
      </c>
      <c r="M10" s="35">
        <v>0</v>
      </c>
      <c r="N10" s="26">
        <f t="shared" si="6"/>
        <v>0</v>
      </c>
      <c r="O10" s="26">
        <f t="shared" si="1"/>
        <v>166784</v>
      </c>
      <c r="P10" s="26">
        <f t="shared" si="1"/>
        <v>7726</v>
      </c>
      <c r="Q10" s="26">
        <f t="shared" si="1"/>
        <v>420</v>
      </c>
      <c r="R10" s="26">
        <f t="shared" si="7"/>
        <v>174930</v>
      </c>
      <c r="S10" s="35">
        <f t="shared" si="2"/>
        <v>1250</v>
      </c>
      <c r="T10" s="35">
        <f t="shared" si="2"/>
        <v>12144</v>
      </c>
      <c r="U10" s="35">
        <f t="shared" si="2"/>
        <v>63838</v>
      </c>
      <c r="V10" s="26">
        <f t="shared" si="8"/>
        <v>77232</v>
      </c>
      <c r="W10" s="26">
        <f t="shared" si="3"/>
        <v>179662</v>
      </c>
      <c r="X10" s="26">
        <f t="shared" si="3"/>
        <v>190095</v>
      </c>
      <c r="Y10" s="26">
        <f t="shared" si="3"/>
        <v>727009</v>
      </c>
      <c r="Z10" s="26">
        <f t="shared" si="9"/>
        <v>1096766</v>
      </c>
      <c r="AA10" s="163">
        <f>W10*(1/AC3)/'Feb 13(1)'!C9*100</f>
        <v>47.31034991257452</v>
      </c>
      <c r="AB10" s="163">
        <f>X10*(1/AC3)/'Feb 13(1)'!D9*100</f>
        <v>66.90164390214719</v>
      </c>
      <c r="AC10" s="163">
        <f>Y10*(1/AC3)/'Feb 13(1)'!E9*100</f>
        <v>17.531723103486527</v>
      </c>
      <c r="AD10" s="163">
        <f>Z10*(1/AC3)/'Feb 13(1)'!F9*100</f>
        <v>22.79840846876544</v>
      </c>
      <c r="AE10" s="26">
        <f>S10+'Feb 13(1)'!S9</f>
        <v>2194</v>
      </c>
      <c r="AF10" s="26">
        <f>T10+'Feb 13(1)'!T9</f>
        <v>1999</v>
      </c>
      <c r="AG10" s="26">
        <f>U10+'Feb 13(1)'!U9</f>
        <v>44048</v>
      </c>
      <c r="AH10" s="26">
        <f t="shared" si="10"/>
        <v>48241</v>
      </c>
      <c r="AI10" s="26">
        <f>W10+'Feb 13(1)'!W9</f>
        <v>16078</v>
      </c>
      <c r="AJ10" s="26">
        <f>X10+'Feb 13(1)'!X9</f>
        <v>22003</v>
      </c>
      <c r="AK10" s="26">
        <f>Y10+'Feb 13(1)'!Y9</f>
        <v>713811</v>
      </c>
      <c r="AL10" s="26">
        <f t="shared" si="11"/>
        <v>751892</v>
      </c>
      <c r="AM10" s="8"/>
      <c r="AN10" s="8"/>
      <c r="AO10" s="8"/>
      <c r="AP10" s="8"/>
      <c r="AQ10" s="42">
        <v>11628</v>
      </c>
      <c r="AR10" s="42">
        <v>170225</v>
      </c>
      <c r="AS10" s="42">
        <v>662751</v>
      </c>
      <c r="AT10" s="258">
        <v>166784</v>
      </c>
      <c r="AU10" s="258">
        <v>7726</v>
      </c>
      <c r="AV10" s="258">
        <v>420</v>
      </c>
      <c r="AW10" s="42">
        <v>178412</v>
      </c>
      <c r="AX10" s="42">
        <v>177951</v>
      </c>
      <c r="AY10" s="42">
        <v>663171</v>
      </c>
      <c r="AZ10" s="4">
        <f t="shared" si="12"/>
        <v>0</v>
      </c>
      <c r="BA10" s="4">
        <f t="shared" si="12"/>
        <v>0</v>
      </c>
      <c r="BB10" s="4">
        <f t="shared" si="12"/>
        <v>0</v>
      </c>
    </row>
    <row r="11" spans="1:54" ht="25.5" customHeight="1">
      <c r="A11" s="27">
        <v>5</v>
      </c>
      <c r="B11" s="28" t="s">
        <v>5</v>
      </c>
      <c r="C11" s="33">
        <f>4571+804+47</f>
        <v>5422</v>
      </c>
      <c r="D11" s="33">
        <v>269</v>
      </c>
      <c r="E11" s="33">
        <v>0</v>
      </c>
      <c r="F11" s="33">
        <f t="shared" si="4"/>
        <v>5691</v>
      </c>
      <c r="G11" s="29">
        <f aca="true" t="shared" si="13" ref="G11:G32">C11+AQ11</f>
        <v>25948</v>
      </c>
      <c r="H11" s="29">
        <f aca="true" t="shared" si="14" ref="H11:H32">D11+AR11</f>
        <v>16265</v>
      </c>
      <c r="I11" s="29">
        <f aca="true" t="shared" si="15" ref="I11:I32">E11+AS11</f>
        <v>265</v>
      </c>
      <c r="J11" s="29">
        <f t="shared" si="5"/>
        <v>42478</v>
      </c>
      <c r="K11" s="232"/>
      <c r="L11" s="232"/>
      <c r="M11" s="232"/>
      <c r="N11" s="29">
        <f t="shared" si="6"/>
        <v>0</v>
      </c>
      <c r="O11" s="29">
        <f aca="true" t="shared" si="16" ref="O11:O32">K11+AT11</f>
        <v>0</v>
      </c>
      <c r="P11" s="29">
        <f aca="true" t="shared" si="17" ref="P11:P32">L11+AU11</f>
        <v>0</v>
      </c>
      <c r="Q11" s="29">
        <f aca="true" t="shared" si="18" ref="Q11:Q32">M11+AV11</f>
        <v>0</v>
      </c>
      <c r="R11" s="29">
        <f t="shared" si="7"/>
        <v>0</v>
      </c>
      <c r="S11" s="33">
        <f t="shared" si="2"/>
        <v>5422</v>
      </c>
      <c r="T11" s="33">
        <f t="shared" si="2"/>
        <v>269</v>
      </c>
      <c r="U11" s="33">
        <f aca="true" t="shared" si="19" ref="U11:U32">M11+E11</f>
        <v>0</v>
      </c>
      <c r="V11" s="29">
        <f t="shared" si="8"/>
        <v>5691</v>
      </c>
      <c r="W11" s="29">
        <f aca="true" t="shared" si="20" ref="W11:W32">S11+AW11</f>
        <v>25948</v>
      </c>
      <c r="X11" s="29">
        <f aca="true" t="shared" si="21" ref="X11:X32">T11+AX11</f>
        <v>16265</v>
      </c>
      <c r="Y11" s="29">
        <f aca="true" t="shared" si="22" ref="Y11:Y30">U11+AY11</f>
        <v>265</v>
      </c>
      <c r="Z11" s="29">
        <f t="shared" si="9"/>
        <v>42478</v>
      </c>
      <c r="AA11" s="164">
        <f>W11*(1/AC3)/'Feb 13(1)'!C10*100</f>
        <v>17.633347604194274</v>
      </c>
      <c r="AB11" s="164">
        <f>X11*(1/AC3)/'Feb 13(1)'!D10*100</f>
        <v>12.486373616250326</v>
      </c>
      <c r="AC11" s="164">
        <f>Y11*(1/AC3)/'Feb 13(1)'!E10*100</f>
        <v>0.01921731153437542</v>
      </c>
      <c r="AD11" s="164">
        <f>Z11*(1/AC3)/'Feb 13(1)'!F10*100</f>
        <v>2.5645081442664126</v>
      </c>
      <c r="AE11" s="29">
        <f>S11+'Feb 13(1)'!S10</f>
        <v>0</v>
      </c>
      <c r="AF11" s="29">
        <f>T11+'Feb 13(1)'!T10</f>
        <v>338</v>
      </c>
      <c r="AG11" s="29">
        <f>U11+'Feb 13(1)'!U10</f>
        <v>19375</v>
      </c>
      <c r="AH11" s="29">
        <f t="shared" si="10"/>
        <v>19713</v>
      </c>
      <c r="AI11" s="29">
        <f>W11+'Feb 13(1)'!W10</f>
        <v>17283</v>
      </c>
      <c r="AJ11" s="29">
        <f>X11+'Feb 13(1)'!X10</f>
        <v>6079</v>
      </c>
      <c r="AK11" s="29">
        <f>Y11+'Feb 13(1)'!Y10</f>
        <v>200163</v>
      </c>
      <c r="AL11" s="29">
        <f t="shared" si="11"/>
        <v>223525</v>
      </c>
      <c r="AM11" s="8"/>
      <c r="AN11" s="8"/>
      <c r="AO11" s="8"/>
      <c r="AP11" s="8"/>
      <c r="AQ11" s="42">
        <v>20526</v>
      </c>
      <c r="AR11" s="42">
        <v>15996</v>
      </c>
      <c r="AS11" s="42">
        <v>265</v>
      </c>
      <c r="AT11" s="258">
        <v>0</v>
      </c>
      <c r="AU11" s="258">
        <v>0</v>
      </c>
      <c r="AV11" s="258">
        <v>0</v>
      </c>
      <c r="AW11" s="42">
        <v>20526</v>
      </c>
      <c r="AX11" s="42">
        <v>15996</v>
      </c>
      <c r="AY11" s="42">
        <v>265</v>
      </c>
      <c r="AZ11" s="4">
        <f t="shared" si="12"/>
        <v>0</v>
      </c>
      <c r="BA11" s="4">
        <f t="shared" si="12"/>
        <v>0</v>
      </c>
      <c r="BB11" s="4">
        <f t="shared" si="12"/>
        <v>0</v>
      </c>
    </row>
    <row r="12" spans="1:54" ht="25.5" customHeight="1">
      <c r="A12" s="30">
        <v>6</v>
      </c>
      <c r="B12" s="31" t="s">
        <v>32</v>
      </c>
      <c r="C12" s="34">
        <v>5363</v>
      </c>
      <c r="D12" s="34">
        <v>3281</v>
      </c>
      <c r="E12" s="34">
        <v>1497</v>
      </c>
      <c r="F12" s="32">
        <f t="shared" si="4"/>
        <v>10141</v>
      </c>
      <c r="G12" s="34">
        <f>C12+AQ12</f>
        <v>91089</v>
      </c>
      <c r="H12" s="34">
        <f t="shared" si="14"/>
        <v>96750</v>
      </c>
      <c r="I12" s="34">
        <f t="shared" si="15"/>
        <v>41770</v>
      </c>
      <c r="J12" s="34">
        <f t="shared" si="5"/>
        <v>229609</v>
      </c>
      <c r="K12" s="34">
        <v>2250</v>
      </c>
      <c r="L12" s="34">
        <v>4015</v>
      </c>
      <c r="M12" s="233"/>
      <c r="N12" s="32">
        <f t="shared" si="6"/>
        <v>6265</v>
      </c>
      <c r="O12" s="32">
        <f t="shared" si="16"/>
        <v>25079</v>
      </c>
      <c r="P12" s="32">
        <f t="shared" si="17"/>
        <v>34256</v>
      </c>
      <c r="Q12" s="32">
        <f t="shared" si="18"/>
        <v>0</v>
      </c>
      <c r="R12" s="32">
        <f t="shared" si="7"/>
        <v>59335</v>
      </c>
      <c r="S12" s="34">
        <f aca="true" t="shared" si="23" ref="S12:S32">K12+C12</f>
        <v>7613</v>
      </c>
      <c r="T12" s="34">
        <f aca="true" t="shared" si="24" ref="T12:T32">L12+D12</f>
        <v>7296</v>
      </c>
      <c r="U12" s="34">
        <f t="shared" si="19"/>
        <v>1497</v>
      </c>
      <c r="V12" s="32">
        <f t="shared" si="8"/>
        <v>16406</v>
      </c>
      <c r="W12" s="32">
        <f t="shared" si="20"/>
        <v>116168</v>
      </c>
      <c r="X12" s="32">
        <f t="shared" si="21"/>
        <v>131006</v>
      </c>
      <c r="Y12" s="32">
        <f t="shared" si="22"/>
        <v>41770</v>
      </c>
      <c r="Z12" s="32">
        <f t="shared" si="9"/>
        <v>288944</v>
      </c>
      <c r="AA12" s="165">
        <f>W12*(1/AC3)/'Feb 13(1)'!C11*100</f>
        <v>7.266722130824518</v>
      </c>
      <c r="AB12" s="165">
        <f>X12*(1/AC3)/'Feb 13(1)'!D11*100</f>
        <v>56.49562071181222</v>
      </c>
      <c r="AC12" s="165">
        <f>Y12*(1/AC3)/'Feb 13(1)'!E11*100</f>
        <v>1.0440571104488447</v>
      </c>
      <c r="AD12" s="165">
        <f>Z12*(1/AC3)/'Feb 13(1)'!F11*100</f>
        <v>4.955090292725958</v>
      </c>
      <c r="AE12" s="32">
        <f>S12+'Feb 13(1)'!S11</f>
        <v>8358</v>
      </c>
      <c r="AF12" s="32">
        <f>T12+'Feb 13(1)'!T11</f>
        <v>1793</v>
      </c>
      <c r="AG12" s="32">
        <f>U12+'Feb 13(1)'!U11</f>
        <v>21445</v>
      </c>
      <c r="AH12" s="32">
        <f t="shared" si="10"/>
        <v>31596</v>
      </c>
      <c r="AI12" s="32">
        <f>W12+'Feb 13(1)'!W11</f>
        <v>82884</v>
      </c>
      <c r="AJ12" s="32">
        <f>X12+'Feb 13(1)'!X11</f>
        <v>23466</v>
      </c>
      <c r="AK12" s="32">
        <f>Y12+'Feb 13(1)'!Y11</f>
        <v>196156</v>
      </c>
      <c r="AL12" s="32">
        <f t="shared" si="11"/>
        <v>302506</v>
      </c>
      <c r="AM12" s="8"/>
      <c r="AN12" s="8"/>
      <c r="AO12" s="8"/>
      <c r="AP12" s="8"/>
      <c r="AQ12" s="42">
        <v>85726</v>
      </c>
      <c r="AR12" s="42">
        <v>93469</v>
      </c>
      <c r="AS12" s="42">
        <v>40273</v>
      </c>
      <c r="AT12" s="258">
        <v>22829</v>
      </c>
      <c r="AU12" s="258">
        <v>30241</v>
      </c>
      <c r="AV12" s="258">
        <v>0</v>
      </c>
      <c r="AW12" s="42">
        <v>108555</v>
      </c>
      <c r="AX12" s="42">
        <v>123710</v>
      </c>
      <c r="AY12" s="42">
        <v>40273</v>
      </c>
      <c r="AZ12" s="4">
        <f t="shared" si="12"/>
        <v>0</v>
      </c>
      <c r="BA12" s="4">
        <f t="shared" si="12"/>
        <v>0</v>
      </c>
      <c r="BB12" s="4">
        <f t="shared" si="12"/>
        <v>0</v>
      </c>
    </row>
    <row r="13" spans="1:54" ht="25.5" customHeight="1">
      <c r="A13" s="24">
        <v>7</v>
      </c>
      <c r="B13" s="44" t="s">
        <v>66</v>
      </c>
      <c r="C13" s="35">
        <v>2721</v>
      </c>
      <c r="D13" s="35">
        <v>577</v>
      </c>
      <c r="E13" s="35">
        <v>9985</v>
      </c>
      <c r="F13" s="26">
        <f t="shared" si="4"/>
        <v>13283</v>
      </c>
      <c r="G13" s="26">
        <f t="shared" si="13"/>
        <v>34964</v>
      </c>
      <c r="H13" s="26">
        <f t="shared" si="14"/>
        <v>5008</v>
      </c>
      <c r="I13" s="26">
        <f t="shared" si="15"/>
        <v>364965</v>
      </c>
      <c r="J13" s="26">
        <f t="shared" si="5"/>
        <v>404937</v>
      </c>
      <c r="K13" s="35">
        <v>3882</v>
      </c>
      <c r="L13" s="35">
        <v>431</v>
      </c>
      <c r="M13" s="35">
        <v>2012</v>
      </c>
      <c r="N13" s="26">
        <f t="shared" si="6"/>
        <v>6325</v>
      </c>
      <c r="O13" s="26">
        <f t="shared" si="16"/>
        <v>31686</v>
      </c>
      <c r="P13" s="26">
        <f t="shared" si="17"/>
        <v>4893</v>
      </c>
      <c r="Q13" s="26">
        <f t="shared" si="18"/>
        <v>8704</v>
      </c>
      <c r="R13" s="26">
        <f t="shared" si="7"/>
        <v>45283</v>
      </c>
      <c r="S13" s="35">
        <f t="shared" si="23"/>
        <v>6603</v>
      </c>
      <c r="T13" s="35">
        <f t="shared" si="24"/>
        <v>1008</v>
      </c>
      <c r="U13" s="35">
        <f t="shared" si="19"/>
        <v>11997</v>
      </c>
      <c r="V13" s="35">
        <f t="shared" si="8"/>
        <v>19608</v>
      </c>
      <c r="W13" s="26">
        <f t="shared" si="20"/>
        <v>66650</v>
      </c>
      <c r="X13" s="26">
        <f t="shared" si="21"/>
        <v>9901</v>
      </c>
      <c r="Y13" s="26">
        <f t="shared" si="22"/>
        <v>373669</v>
      </c>
      <c r="Z13" s="26">
        <f t="shared" si="9"/>
        <v>450220</v>
      </c>
      <c r="AA13" s="163">
        <f>W13*(1/AC3)/'Feb 13(1)'!C12*100</f>
        <v>12.274966619089277</v>
      </c>
      <c r="AB13" s="163">
        <f>X13*(1/AC3)/'Feb 13(1)'!D12*100</f>
        <v>38.035419307748455</v>
      </c>
      <c r="AC13" s="163">
        <f>Y13*(1/AC3)/'Feb 13(1)'!E12*100</f>
        <v>12.569212931116546</v>
      </c>
      <c r="AD13" s="163">
        <f>Z13*(1/AC3)/'Feb 13(1)'!F12*100</f>
        <v>12.71126743663071</v>
      </c>
      <c r="AE13" s="35">
        <f>S13+'Feb 13(1)'!S12</f>
        <v>2699</v>
      </c>
      <c r="AF13" s="35">
        <f>T13+'Feb 13(1)'!T12</f>
        <v>425</v>
      </c>
      <c r="AG13" s="26">
        <f>U13+'Feb 13(1)'!U12</f>
        <v>32778</v>
      </c>
      <c r="AH13" s="26">
        <f t="shared" si="10"/>
        <v>35902</v>
      </c>
      <c r="AI13" s="26">
        <f>W13+'Feb 13(1)'!W12</f>
        <v>29226</v>
      </c>
      <c r="AJ13" s="26">
        <f>X13+'Feb 13(1)'!X12</f>
        <v>4497</v>
      </c>
      <c r="AK13" s="26">
        <f>Y13+'Feb 13(1)'!Y12</f>
        <v>453147</v>
      </c>
      <c r="AL13" s="26">
        <f t="shared" si="11"/>
        <v>486870</v>
      </c>
      <c r="AM13" s="8"/>
      <c r="AN13" s="8"/>
      <c r="AO13" s="8"/>
      <c r="AP13" s="8"/>
      <c r="AQ13" s="42">
        <v>32243</v>
      </c>
      <c r="AR13" s="42">
        <v>4431</v>
      </c>
      <c r="AS13" s="42">
        <v>354980</v>
      </c>
      <c r="AT13" s="258">
        <v>27804</v>
      </c>
      <c r="AU13" s="258">
        <v>4462</v>
      </c>
      <c r="AV13" s="258">
        <v>6692</v>
      </c>
      <c r="AW13" s="42">
        <v>60047</v>
      </c>
      <c r="AX13" s="42">
        <v>8893</v>
      </c>
      <c r="AY13" s="42">
        <v>361672</v>
      </c>
      <c r="AZ13" s="4">
        <f t="shared" si="12"/>
        <v>0</v>
      </c>
      <c r="BA13" s="4">
        <f t="shared" si="12"/>
        <v>0</v>
      </c>
      <c r="BB13" s="4">
        <f t="shared" si="12"/>
        <v>0</v>
      </c>
    </row>
    <row r="14" spans="1:54" ht="25.5" customHeight="1">
      <c r="A14" s="60">
        <v>8</v>
      </c>
      <c r="B14" s="28" t="s">
        <v>67</v>
      </c>
      <c r="C14" s="33">
        <v>2036</v>
      </c>
      <c r="D14" s="33">
        <v>276</v>
      </c>
      <c r="E14" s="33">
        <v>2004</v>
      </c>
      <c r="F14" s="29">
        <f t="shared" si="4"/>
        <v>4316</v>
      </c>
      <c r="G14" s="29">
        <f t="shared" si="13"/>
        <v>19070</v>
      </c>
      <c r="H14" s="29">
        <f t="shared" si="14"/>
        <v>5189</v>
      </c>
      <c r="I14" s="29">
        <f t="shared" si="15"/>
        <v>279109</v>
      </c>
      <c r="J14" s="29">
        <f t="shared" si="5"/>
        <v>303368</v>
      </c>
      <c r="K14" s="33">
        <v>2120</v>
      </c>
      <c r="L14" s="33">
        <v>130</v>
      </c>
      <c r="M14" s="33">
        <v>130</v>
      </c>
      <c r="N14" s="29">
        <f t="shared" si="6"/>
        <v>2380</v>
      </c>
      <c r="O14" s="29">
        <f t="shared" si="16"/>
        <v>10071</v>
      </c>
      <c r="P14" s="29">
        <f t="shared" si="17"/>
        <v>6535</v>
      </c>
      <c r="Q14" s="29">
        <f t="shared" si="18"/>
        <v>1943</v>
      </c>
      <c r="R14" s="29">
        <f t="shared" si="7"/>
        <v>18549</v>
      </c>
      <c r="S14" s="33">
        <f t="shared" si="23"/>
        <v>4156</v>
      </c>
      <c r="T14" s="33">
        <f t="shared" si="24"/>
        <v>406</v>
      </c>
      <c r="U14" s="33">
        <f t="shared" si="19"/>
        <v>2134</v>
      </c>
      <c r="V14" s="29">
        <f t="shared" si="8"/>
        <v>6696</v>
      </c>
      <c r="W14" s="29">
        <f t="shared" si="20"/>
        <v>29141</v>
      </c>
      <c r="X14" s="29">
        <f t="shared" si="21"/>
        <v>11724</v>
      </c>
      <c r="Y14" s="29">
        <f t="shared" si="22"/>
        <v>281052</v>
      </c>
      <c r="Z14" s="29">
        <f t="shared" si="9"/>
        <v>321917</v>
      </c>
      <c r="AA14" s="164">
        <f>W14*(1/AC3)/'Feb 13(1)'!C13*100</f>
        <v>9.654292766154814</v>
      </c>
      <c r="AB14" s="164">
        <f>X14*(1/AC3)/'Feb 13(1)'!D13*100</f>
        <v>17.29637224672853</v>
      </c>
      <c r="AC14" s="164">
        <f>Y14*(1/AC3)/'Feb 13(1)'!E13*100</f>
        <v>17.458890677248565</v>
      </c>
      <c r="AD14" s="164">
        <f>Z14*(1/AC3)/'Feb 13(1)'!F13*100</f>
        <v>16.263190094477125</v>
      </c>
      <c r="AE14" s="29">
        <f>S14+'Feb 13(1)'!S13</f>
        <v>910</v>
      </c>
      <c r="AF14" s="29">
        <f>T14+'Feb 13(1)'!T13</f>
        <v>116</v>
      </c>
      <c r="AG14" s="29">
        <f>U14+'Feb 13(1)'!U13</f>
        <v>16719</v>
      </c>
      <c r="AH14" s="29">
        <f>SUM(AE14:AG14)</f>
        <v>17745</v>
      </c>
      <c r="AI14" s="29">
        <f>W14+'Feb 13(1)'!W13</f>
        <v>7647</v>
      </c>
      <c r="AJ14" s="29">
        <f>X14+'Feb 13(1)'!X13</f>
        <v>2657</v>
      </c>
      <c r="AK14" s="29">
        <f>Y14+'Feb 13(1)'!Y13</f>
        <v>227886</v>
      </c>
      <c r="AL14" s="29">
        <f t="shared" si="11"/>
        <v>238190</v>
      </c>
      <c r="AM14" s="8"/>
      <c r="AN14" s="8"/>
      <c r="AO14" s="8"/>
      <c r="AP14" s="8"/>
      <c r="AQ14" s="42">
        <v>17034</v>
      </c>
      <c r="AR14" s="42">
        <v>4913</v>
      </c>
      <c r="AS14" s="42">
        <v>277105</v>
      </c>
      <c r="AT14" s="258">
        <v>7951</v>
      </c>
      <c r="AU14" s="258">
        <v>6405</v>
      </c>
      <c r="AV14" s="258">
        <v>1813</v>
      </c>
      <c r="AW14" s="42">
        <v>24985</v>
      </c>
      <c r="AX14" s="42">
        <v>11318</v>
      </c>
      <c r="AY14" s="42">
        <v>278918</v>
      </c>
      <c r="AZ14" s="4">
        <f t="shared" si="12"/>
        <v>0</v>
      </c>
      <c r="BA14" s="4">
        <f t="shared" si="12"/>
        <v>0</v>
      </c>
      <c r="BB14" s="4">
        <f t="shared" si="12"/>
        <v>0</v>
      </c>
    </row>
    <row r="15" spans="1:54" ht="25.5" customHeight="1">
      <c r="A15" s="30">
        <v>9</v>
      </c>
      <c r="B15" s="31" t="s">
        <v>33</v>
      </c>
      <c r="C15" s="34">
        <v>1972</v>
      </c>
      <c r="D15" s="34">
        <v>2366</v>
      </c>
      <c r="E15" s="34">
        <v>25707</v>
      </c>
      <c r="F15" s="32">
        <f t="shared" si="4"/>
        <v>30045</v>
      </c>
      <c r="G15" s="32">
        <f t="shared" si="13"/>
        <v>19968</v>
      </c>
      <c r="H15" s="32">
        <f t="shared" si="14"/>
        <v>20721</v>
      </c>
      <c r="I15" s="32">
        <f t="shared" si="15"/>
        <v>213081</v>
      </c>
      <c r="J15" s="32">
        <f t="shared" si="5"/>
        <v>253770</v>
      </c>
      <c r="K15" s="233"/>
      <c r="L15" s="233"/>
      <c r="M15" s="233"/>
      <c r="N15" s="32">
        <f t="shared" si="6"/>
        <v>0</v>
      </c>
      <c r="O15" s="32">
        <f t="shared" si="16"/>
        <v>0</v>
      </c>
      <c r="P15" s="32">
        <f t="shared" si="17"/>
        <v>0</v>
      </c>
      <c r="Q15" s="32">
        <f t="shared" si="18"/>
        <v>0</v>
      </c>
      <c r="R15" s="32">
        <f t="shared" si="7"/>
        <v>0</v>
      </c>
      <c r="S15" s="34">
        <f t="shared" si="23"/>
        <v>1972</v>
      </c>
      <c r="T15" s="34">
        <f t="shared" si="24"/>
        <v>2366</v>
      </c>
      <c r="U15" s="34">
        <f t="shared" si="19"/>
        <v>25707</v>
      </c>
      <c r="V15" s="32">
        <f t="shared" si="8"/>
        <v>30045</v>
      </c>
      <c r="W15" s="32">
        <f t="shared" si="20"/>
        <v>19968</v>
      </c>
      <c r="X15" s="32">
        <f t="shared" si="21"/>
        <v>20721</v>
      </c>
      <c r="Y15" s="32">
        <f t="shared" si="22"/>
        <v>213081</v>
      </c>
      <c r="Z15" s="32">
        <f t="shared" si="9"/>
        <v>253770</v>
      </c>
      <c r="AA15" s="165">
        <f>W15*(1/AC3)/'Feb 13(1)'!C14*100</f>
        <v>9.789722948095053</v>
      </c>
      <c r="AB15" s="165">
        <f>X15*(1/AC3)/'Feb 13(1)'!D14*100</f>
        <v>27.07530281846572</v>
      </c>
      <c r="AC15" s="165">
        <f>Y15*(1/AC3)/'Feb 13(1)'!E14*100</f>
        <v>21.969287682079877</v>
      </c>
      <c r="AD15" s="165">
        <f>Z15*(1/AC3)/'Feb 13(1)'!F14*100</f>
        <v>20.295040642864226</v>
      </c>
      <c r="AE15" s="32">
        <f>S15+'Feb 13(1)'!S14</f>
        <v>999</v>
      </c>
      <c r="AF15" s="32">
        <f>T15+'Feb 13(1)'!T14</f>
        <v>1202</v>
      </c>
      <c r="AG15" s="32">
        <f>U15+'Feb 13(1)'!U14</f>
        <v>25057</v>
      </c>
      <c r="AH15" s="32">
        <f t="shared" si="10"/>
        <v>27258</v>
      </c>
      <c r="AI15" s="32">
        <f>W15+'Feb 13(1)'!W14</f>
        <v>12893</v>
      </c>
      <c r="AJ15" s="32">
        <f>X15+'Feb 13(1)'!X14</f>
        <v>13107</v>
      </c>
      <c r="AK15" s="32">
        <f>Y15+'Feb 13(1)'!Y14</f>
        <v>334985</v>
      </c>
      <c r="AL15" s="32">
        <f t="shared" si="11"/>
        <v>360985</v>
      </c>
      <c r="AM15" s="8"/>
      <c r="AN15" s="8"/>
      <c r="AO15" s="8"/>
      <c r="AP15" s="8"/>
      <c r="AQ15" s="42">
        <v>17996</v>
      </c>
      <c r="AR15" s="42">
        <v>18355</v>
      </c>
      <c r="AS15" s="42">
        <v>187374</v>
      </c>
      <c r="AT15" s="258">
        <v>0</v>
      </c>
      <c r="AU15" s="258">
        <v>0</v>
      </c>
      <c r="AV15" s="258">
        <v>0</v>
      </c>
      <c r="AW15" s="42">
        <v>17996</v>
      </c>
      <c r="AX15" s="42">
        <v>18355</v>
      </c>
      <c r="AY15" s="42">
        <v>187374</v>
      </c>
      <c r="AZ15" s="4">
        <f t="shared" si="12"/>
        <v>0</v>
      </c>
      <c r="BA15" s="4">
        <f t="shared" si="12"/>
        <v>0</v>
      </c>
      <c r="BB15" s="4">
        <f t="shared" si="12"/>
        <v>0</v>
      </c>
    </row>
    <row r="16" spans="1:54" ht="25.5" customHeight="1">
      <c r="A16" s="24">
        <v>10</v>
      </c>
      <c r="B16" s="44" t="s">
        <v>6</v>
      </c>
      <c r="C16" s="35">
        <v>996</v>
      </c>
      <c r="D16" s="35">
        <v>184</v>
      </c>
      <c r="E16" s="35">
        <v>19525</v>
      </c>
      <c r="F16" s="26">
        <f t="shared" si="4"/>
        <v>20705</v>
      </c>
      <c r="G16" s="26">
        <f t="shared" si="13"/>
        <v>93149</v>
      </c>
      <c r="H16" s="26">
        <f t="shared" si="14"/>
        <v>4067</v>
      </c>
      <c r="I16" s="26">
        <f t="shared" si="15"/>
        <v>214120</v>
      </c>
      <c r="J16" s="26">
        <f t="shared" si="5"/>
        <v>311336</v>
      </c>
      <c r="K16" s="231"/>
      <c r="L16" s="231"/>
      <c r="M16" s="231"/>
      <c r="N16" s="26">
        <f t="shared" si="6"/>
        <v>0</v>
      </c>
      <c r="O16" s="26">
        <f t="shared" si="16"/>
        <v>0</v>
      </c>
      <c r="P16" s="26">
        <f t="shared" si="17"/>
        <v>0</v>
      </c>
      <c r="Q16" s="26">
        <f t="shared" si="18"/>
        <v>0</v>
      </c>
      <c r="R16" s="26">
        <f t="shared" si="7"/>
        <v>0</v>
      </c>
      <c r="S16" s="35">
        <f t="shared" si="23"/>
        <v>996</v>
      </c>
      <c r="T16" s="35">
        <f t="shared" si="24"/>
        <v>184</v>
      </c>
      <c r="U16" s="35">
        <f t="shared" si="19"/>
        <v>19525</v>
      </c>
      <c r="V16" s="26">
        <f t="shared" si="8"/>
        <v>20705</v>
      </c>
      <c r="W16" s="26">
        <f>S16+AW16</f>
        <v>93149</v>
      </c>
      <c r="X16" s="26">
        <f t="shared" si="21"/>
        <v>4067</v>
      </c>
      <c r="Y16" s="26">
        <f t="shared" si="22"/>
        <v>214120</v>
      </c>
      <c r="Z16" s="26">
        <f t="shared" si="9"/>
        <v>311336</v>
      </c>
      <c r="AA16" s="163">
        <f>W16*(1/AC3)/'Feb 13(1)'!C15*100</f>
        <v>43.2472711909261</v>
      </c>
      <c r="AB16" s="163">
        <f>X16*(1/AC3)/'Feb 13(1)'!D15*100</f>
        <v>3.9590755991667157</v>
      </c>
      <c r="AC16" s="163">
        <f>Y16*(1/AC3)/'Feb 13(1)'!E15*100</f>
        <v>13.374216344751469</v>
      </c>
      <c r="AD16" s="163">
        <f>Z16*(1/AC3)/'Feb 13(1)'!F15*100</f>
        <v>16.222987394117254</v>
      </c>
      <c r="AE16" s="26">
        <f>S16+'Feb 13(1)'!S15</f>
        <v>1061</v>
      </c>
      <c r="AF16" s="26">
        <f>T16+'Feb 13(1)'!T15</f>
        <v>79</v>
      </c>
      <c r="AG16" s="26">
        <f>U16+'Feb 13(1)'!U15</f>
        <v>11571</v>
      </c>
      <c r="AH16" s="26">
        <f t="shared" si="10"/>
        <v>12711</v>
      </c>
      <c r="AI16" s="26">
        <f>W16+'Feb 13(1)'!W15</f>
        <v>38835</v>
      </c>
      <c r="AJ16" s="26">
        <f>X16+'Feb 13(1)'!X15</f>
        <v>2823</v>
      </c>
      <c r="AK16" s="26">
        <f>Y16+'Feb 13(1)'!Y15</f>
        <v>199523</v>
      </c>
      <c r="AL16" s="26">
        <f t="shared" si="11"/>
        <v>241181</v>
      </c>
      <c r="AM16" s="8"/>
      <c r="AN16" s="8"/>
      <c r="AO16" s="8"/>
      <c r="AP16" s="8"/>
      <c r="AQ16" s="42">
        <v>92153</v>
      </c>
      <c r="AR16" s="42">
        <v>3883</v>
      </c>
      <c r="AS16" s="42">
        <v>194595</v>
      </c>
      <c r="AT16" s="258">
        <v>0</v>
      </c>
      <c r="AU16" s="258">
        <v>0</v>
      </c>
      <c r="AV16" s="258">
        <v>0</v>
      </c>
      <c r="AW16" s="42">
        <v>92153</v>
      </c>
      <c r="AX16" s="42">
        <v>3883</v>
      </c>
      <c r="AY16" s="42">
        <v>194595</v>
      </c>
      <c r="AZ16" s="4">
        <f t="shared" si="12"/>
        <v>0</v>
      </c>
      <c r="BA16" s="4">
        <f t="shared" si="12"/>
        <v>0</v>
      </c>
      <c r="BB16" s="4">
        <f t="shared" si="12"/>
        <v>0</v>
      </c>
    </row>
    <row r="17" spans="1:54" ht="25.5" customHeight="1">
      <c r="A17" s="60">
        <v>11</v>
      </c>
      <c r="B17" s="28" t="s">
        <v>34</v>
      </c>
      <c r="C17" s="33">
        <v>10850</v>
      </c>
      <c r="D17" s="33">
        <v>1603</v>
      </c>
      <c r="E17" s="33">
        <v>5244</v>
      </c>
      <c r="F17" s="29">
        <f t="shared" si="4"/>
        <v>17697</v>
      </c>
      <c r="G17" s="29">
        <f t="shared" si="13"/>
        <v>138842</v>
      </c>
      <c r="H17" s="29">
        <f t="shared" si="14"/>
        <v>36720</v>
      </c>
      <c r="I17" s="29">
        <f t="shared" si="15"/>
        <v>558663</v>
      </c>
      <c r="J17" s="29">
        <f t="shared" si="5"/>
        <v>734225</v>
      </c>
      <c r="K17" s="33">
        <v>9102</v>
      </c>
      <c r="L17" s="33">
        <v>6318</v>
      </c>
      <c r="M17" s="33">
        <v>3167</v>
      </c>
      <c r="N17" s="29">
        <f t="shared" si="6"/>
        <v>18587</v>
      </c>
      <c r="O17" s="29">
        <f t="shared" si="16"/>
        <v>300424</v>
      </c>
      <c r="P17" s="29">
        <f t="shared" si="17"/>
        <v>168992</v>
      </c>
      <c r="Q17" s="29">
        <f t="shared" si="18"/>
        <v>160060</v>
      </c>
      <c r="R17" s="29">
        <f t="shared" si="7"/>
        <v>629476</v>
      </c>
      <c r="S17" s="33">
        <f t="shared" si="23"/>
        <v>19952</v>
      </c>
      <c r="T17" s="33">
        <f t="shared" si="24"/>
        <v>7921</v>
      </c>
      <c r="U17" s="33">
        <f t="shared" si="19"/>
        <v>8411</v>
      </c>
      <c r="V17" s="29">
        <f t="shared" si="8"/>
        <v>36284</v>
      </c>
      <c r="W17" s="29">
        <f t="shared" si="20"/>
        <v>439266</v>
      </c>
      <c r="X17" s="29">
        <f t="shared" si="21"/>
        <v>205712</v>
      </c>
      <c r="Y17" s="29">
        <f t="shared" si="22"/>
        <v>718723</v>
      </c>
      <c r="Z17" s="29">
        <f t="shared" si="9"/>
        <v>1363701</v>
      </c>
      <c r="AA17" s="164">
        <f>W17*(1/AC3)/'Feb 13(1)'!C16*100</f>
        <v>22.374464344017845</v>
      </c>
      <c r="AB17" s="164">
        <f>X17*(1/AC3)/'Feb 13(1)'!D16*100</f>
        <v>56.871450925316694</v>
      </c>
      <c r="AC17" s="164">
        <f>Y17*(1/AC3)/'Feb 13(1)'!E16*100</f>
        <v>10.967890304463285</v>
      </c>
      <c r="AD17" s="164">
        <f>Z17*(1/AC3)/'Feb 13(1)'!F16*100</f>
        <v>15.360565266585077</v>
      </c>
      <c r="AE17" s="29">
        <f>S17+'Feb 13(1)'!S16</f>
        <v>13940</v>
      </c>
      <c r="AF17" s="29">
        <f>T17+'Feb 13(1)'!T16</f>
        <v>542</v>
      </c>
      <c r="AG17" s="29">
        <f>U17+'Feb 13(1)'!U16</f>
        <v>62593</v>
      </c>
      <c r="AH17" s="29">
        <f t="shared" si="10"/>
        <v>77075</v>
      </c>
      <c r="AI17" s="29">
        <f>W17+'Feb 13(1)'!W16</f>
        <v>168823</v>
      </c>
      <c r="AJ17" s="29">
        <f>X17+'Feb 13(1)'!X16</f>
        <v>24805</v>
      </c>
      <c r="AK17" s="29">
        <f>Y17+'Feb 13(1)'!Y16</f>
        <v>1054728</v>
      </c>
      <c r="AL17" s="29">
        <f t="shared" si="11"/>
        <v>1248356</v>
      </c>
      <c r="AM17" s="8"/>
      <c r="AN17" s="8"/>
      <c r="AO17" s="8"/>
      <c r="AP17" s="8"/>
      <c r="AQ17" s="42">
        <v>127992</v>
      </c>
      <c r="AR17" s="42">
        <v>35117</v>
      </c>
      <c r="AS17" s="42">
        <v>553419</v>
      </c>
      <c r="AT17" s="258">
        <v>291322</v>
      </c>
      <c r="AU17" s="258">
        <v>162674</v>
      </c>
      <c r="AV17" s="258">
        <v>156893</v>
      </c>
      <c r="AW17" s="42">
        <v>419314</v>
      </c>
      <c r="AX17" s="42">
        <v>197791</v>
      </c>
      <c r="AY17" s="42">
        <v>710312</v>
      </c>
      <c r="AZ17" s="4">
        <f t="shared" si="12"/>
        <v>0</v>
      </c>
      <c r="BA17" s="4">
        <f t="shared" si="12"/>
        <v>0</v>
      </c>
      <c r="BB17" s="4">
        <f t="shared" si="12"/>
        <v>0</v>
      </c>
    </row>
    <row r="18" spans="1:54" ht="25.5" customHeight="1">
      <c r="A18" s="30">
        <v>12</v>
      </c>
      <c r="B18" s="31" t="s">
        <v>35</v>
      </c>
      <c r="C18" s="34">
        <v>7420</v>
      </c>
      <c r="D18" s="34">
        <v>4222</v>
      </c>
      <c r="E18" s="34">
        <v>951</v>
      </c>
      <c r="F18" s="32">
        <f t="shared" si="4"/>
        <v>12593</v>
      </c>
      <c r="G18" s="32">
        <f t="shared" si="13"/>
        <v>97938</v>
      </c>
      <c r="H18" s="32">
        <f t="shared" si="14"/>
        <v>79501</v>
      </c>
      <c r="I18" s="32">
        <f t="shared" si="15"/>
        <v>52837</v>
      </c>
      <c r="J18" s="32">
        <f t="shared" si="5"/>
        <v>230276</v>
      </c>
      <c r="K18" s="34">
        <v>8251</v>
      </c>
      <c r="L18" s="34">
        <v>0</v>
      </c>
      <c r="M18" s="34">
        <v>344</v>
      </c>
      <c r="N18" s="32">
        <f t="shared" si="6"/>
        <v>8595</v>
      </c>
      <c r="O18" s="32">
        <f t="shared" si="16"/>
        <v>96463</v>
      </c>
      <c r="P18" s="32">
        <f t="shared" si="17"/>
        <v>0</v>
      </c>
      <c r="Q18" s="32">
        <f t="shared" si="18"/>
        <v>4248</v>
      </c>
      <c r="R18" s="32">
        <f t="shared" si="7"/>
        <v>100711</v>
      </c>
      <c r="S18" s="34">
        <f t="shared" si="23"/>
        <v>15671</v>
      </c>
      <c r="T18" s="34">
        <f t="shared" si="24"/>
        <v>4222</v>
      </c>
      <c r="U18" s="34">
        <f t="shared" si="19"/>
        <v>1295</v>
      </c>
      <c r="V18" s="32">
        <f t="shared" si="8"/>
        <v>21188</v>
      </c>
      <c r="W18" s="32">
        <f t="shared" si="20"/>
        <v>194401</v>
      </c>
      <c r="X18" s="32">
        <f t="shared" si="21"/>
        <v>79501</v>
      </c>
      <c r="Y18" s="32">
        <f t="shared" si="22"/>
        <v>57085</v>
      </c>
      <c r="Z18" s="32">
        <f t="shared" si="9"/>
        <v>330987</v>
      </c>
      <c r="AA18" s="165">
        <f>W18*(1/AC3)/'Feb 13(1)'!C17*100</f>
        <v>6.341815576776025</v>
      </c>
      <c r="AB18" s="165">
        <f>X18*(1/AC3)/'Feb 13(1)'!D17*100</f>
        <v>23.60628186436803</v>
      </c>
      <c r="AC18" s="165">
        <f>Y18*(1/AC3)/'Feb 13(1)'!E17*100</f>
        <v>0.8424995841740249</v>
      </c>
      <c r="AD18" s="165">
        <f>Z18*(1/AC3)/'Feb 13(1)'!F17*100</f>
        <v>3.252037712542767</v>
      </c>
      <c r="AE18" s="32">
        <f>S18+'Feb 13(1)'!S17</f>
        <v>7073</v>
      </c>
      <c r="AF18" s="32">
        <f>T18+'Feb 13(1)'!T17</f>
        <v>2366</v>
      </c>
      <c r="AG18" s="32">
        <f>U18+'Feb 13(1)'!U17</f>
        <v>41638</v>
      </c>
      <c r="AH18" s="32">
        <f t="shared" si="10"/>
        <v>51077</v>
      </c>
      <c r="AI18" s="32">
        <f>W18+'Feb 13(1)'!W17</f>
        <v>83771</v>
      </c>
      <c r="AJ18" s="32">
        <f>X18+'Feb 13(1)'!X17</f>
        <v>34315</v>
      </c>
      <c r="AK18" s="32">
        <f>Y18+'Feb 13(1)'!Y17</f>
        <v>694570</v>
      </c>
      <c r="AL18" s="32">
        <f t="shared" si="11"/>
        <v>812656</v>
      </c>
      <c r="AM18" s="8"/>
      <c r="AN18" s="8"/>
      <c r="AO18" s="8"/>
      <c r="AP18" s="8"/>
      <c r="AQ18" s="42">
        <v>90518</v>
      </c>
      <c r="AR18" s="42">
        <v>75279</v>
      </c>
      <c r="AS18" s="42">
        <v>51886</v>
      </c>
      <c r="AT18" s="258">
        <v>88212</v>
      </c>
      <c r="AU18" s="258">
        <v>0</v>
      </c>
      <c r="AV18" s="258">
        <v>3904</v>
      </c>
      <c r="AW18" s="42">
        <v>178730</v>
      </c>
      <c r="AX18" s="42">
        <v>75279</v>
      </c>
      <c r="AY18" s="42">
        <v>55790</v>
      </c>
      <c r="AZ18" s="4">
        <f t="shared" si="12"/>
        <v>0</v>
      </c>
      <c r="BA18" s="4">
        <f t="shared" si="12"/>
        <v>0</v>
      </c>
      <c r="BB18" s="4">
        <f t="shared" si="12"/>
        <v>0</v>
      </c>
    </row>
    <row r="19" spans="1:54" ht="25.5" customHeight="1">
      <c r="A19" s="24">
        <v>13</v>
      </c>
      <c r="B19" s="25" t="s">
        <v>68</v>
      </c>
      <c r="C19" s="35">
        <v>2027</v>
      </c>
      <c r="D19" s="35">
        <v>1811</v>
      </c>
      <c r="E19" s="35">
        <v>8310</v>
      </c>
      <c r="F19" s="26">
        <f t="shared" si="4"/>
        <v>12148</v>
      </c>
      <c r="G19" s="26">
        <f t="shared" si="13"/>
        <v>81352</v>
      </c>
      <c r="H19" s="26">
        <f t="shared" si="14"/>
        <v>94310</v>
      </c>
      <c r="I19" s="26">
        <f t="shared" si="15"/>
        <v>488666</v>
      </c>
      <c r="J19" s="26">
        <f t="shared" si="5"/>
        <v>664328</v>
      </c>
      <c r="K19" s="35">
        <v>893</v>
      </c>
      <c r="L19" s="35">
        <v>0</v>
      </c>
      <c r="M19" s="35">
        <v>1216</v>
      </c>
      <c r="N19" s="26">
        <f t="shared" si="6"/>
        <v>2109</v>
      </c>
      <c r="O19" s="26">
        <f t="shared" si="16"/>
        <v>14983</v>
      </c>
      <c r="P19" s="26">
        <f t="shared" si="17"/>
        <v>0</v>
      </c>
      <c r="Q19" s="26">
        <f t="shared" si="18"/>
        <v>23105</v>
      </c>
      <c r="R19" s="26">
        <f t="shared" si="7"/>
        <v>38088</v>
      </c>
      <c r="S19" s="35">
        <f t="shared" si="23"/>
        <v>2920</v>
      </c>
      <c r="T19" s="35">
        <f t="shared" si="24"/>
        <v>1811</v>
      </c>
      <c r="U19" s="35">
        <f t="shared" si="19"/>
        <v>9526</v>
      </c>
      <c r="V19" s="26">
        <f t="shared" si="8"/>
        <v>14257</v>
      </c>
      <c r="W19" s="26">
        <f t="shared" si="20"/>
        <v>96335</v>
      </c>
      <c r="X19" s="26">
        <f t="shared" si="21"/>
        <v>94310</v>
      </c>
      <c r="Y19" s="26">
        <f t="shared" si="22"/>
        <v>511771</v>
      </c>
      <c r="Z19" s="26">
        <f t="shared" si="9"/>
        <v>702416</v>
      </c>
      <c r="AA19" s="163">
        <f>W19*(1/AC3)/'Feb 13(1)'!C18*100</f>
        <v>13.685601244468437</v>
      </c>
      <c r="AB19" s="163">
        <f>X19*(1/AC3)/'Feb 13(1)'!D18*100</f>
        <v>62.12329804823102</v>
      </c>
      <c r="AC19" s="163">
        <f>Y19*(1/AC3)/'Feb 13(1)'!E18*100</f>
        <v>16.201360320246675</v>
      </c>
      <c r="AD19" s="163">
        <f>Z19*(1/AC3)/'Feb 13(1)'!F18*100</f>
        <v>17.496794776787684</v>
      </c>
      <c r="AE19" s="26">
        <f>S19+'Feb 13(1)'!S18</f>
        <v>3618</v>
      </c>
      <c r="AF19" s="26">
        <f>T19+'Feb 13(1)'!T18</f>
        <v>1534</v>
      </c>
      <c r="AG19" s="26">
        <f>U19+'Feb 13(1)'!U18</f>
        <v>39666</v>
      </c>
      <c r="AH19" s="26">
        <f t="shared" si="10"/>
        <v>44818</v>
      </c>
      <c r="AI19" s="26">
        <f>W19+'Feb 13(1)'!W18</f>
        <v>84952</v>
      </c>
      <c r="AJ19" s="26">
        <f>X19+'Feb 13(1)'!X18</f>
        <v>36117</v>
      </c>
      <c r="AK19" s="26">
        <f>Y19+'Feb 13(1)'!Y18</f>
        <v>749873</v>
      </c>
      <c r="AL19" s="26">
        <f t="shared" si="11"/>
        <v>870942</v>
      </c>
      <c r="AM19" s="8"/>
      <c r="AN19" s="8"/>
      <c r="AO19" s="8"/>
      <c r="AP19" s="8"/>
      <c r="AQ19" s="42">
        <v>79325</v>
      </c>
      <c r="AR19" s="42">
        <v>92499</v>
      </c>
      <c r="AS19" s="42">
        <v>480356</v>
      </c>
      <c r="AT19" s="258">
        <v>14090</v>
      </c>
      <c r="AU19" s="258">
        <v>0</v>
      </c>
      <c r="AV19" s="258">
        <v>21889</v>
      </c>
      <c r="AW19" s="42">
        <v>93415</v>
      </c>
      <c r="AX19" s="42">
        <v>92499</v>
      </c>
      <c r="AY19" s="42">
        <v>502245</v>
      </c>
      <c r="AZ19" s="4">
        <f t="shared" si="12"/>
        <v>0</v>
      </c>
      <c r="BA19" s="4">
        <f t="shared" si="12"/>
        <v>0</v>
      </c>
      <c r="BB19" s="4">
        <f t="shared" si="12"/>
        <v>0</v>
      </c>
    </row>
    <row r="20" spans="1:54" ht="25.5" customHeight="1">
      <c r="A20" s="27">
        <v>14</v>
      </c>
      <c r="B20" s="28" t="s">
        <v>36</v>
      </c>
      <c r="C20" s="33">
        <v>7902</v>
      </c>
      <c r="D20" s="33">
        <v>736</v>
      </c>
      <c r="E20" s="232"/>
      <c r="F20" s="29">
        <f t="shared" si="4"/>
        <v>8638</v>
      </c>
      <c r="G20" s="33">
        <f aca="true" t="shared" si="25" ref="G20:I21">C20+AQ20</f>
        <v>114952</v>
      </c>
      <c r="H20" s="33">
        <f t="shared" si="25"/>
        <v>43036</v>
      </c>
      <c r="I20" s="33">
        <f t="shared" si="25"/>
        <v>777934</v>
      </c>
      <c r="J20" s="170">
        <f t="shared" si="5"/>
        <v>935922</v>
      </c>
      <c r="K20" s="33">
        <v>33356</v>
      </c>
      <c r="L20" s="33">
        <v>1760</v>
      </c>
      <c r="M20" s="33">
        <v>18684</v>
      </c>
      <c r="N20" s="29">
        <f t="shared" si="6"/>
        <v>53800</v>
      </c>
      <c r="O20" s="29">
        <f>K20+AT20</f>
        <v>160019</v>
      </c>
      <c r="P20" s="29">
        <f>L20+AU20</f>
        <v>31963</v>
      </c>
      <c r="Q20" s="29">
        <f>M20+AV20</f>
        <v>346427</v>
      </c>
      <c r="R20" s="170">
        <f>SUM(O20:Q20)</f>
        <v>538409</v>
      </c>
      <c r="S20" s="33">
        <f>K20+C20</f>
        <v>41258</v>
      </c>
      <c r="T20" s="33">
        <f t="shared" si="24"/>
        <v>2496</v>
      </c>
      <c r="U20" s="33">
        <f t="shared" si="19"/>
        <v>18684</v>
      </c>
      <c r="V20" s="29">
        <f t="shared" si="8"/>
        <v>62438</v>
      </c>
      <c r="W20" s="29">
        <f>S20+AW20</f>
        <v>274971</v>
      </c>
      <c r="X20" s="29">
        <f t="shared" si="21"/>
        <v>74999</v>
      </c>
      <c r="Y20" s="29">
        <f t="shared" si="22"/>
        <v>1124361</v>
      </c>
      <c r="Z20" s="29">
        <f t="shared" si="9"/>
        <v>1474331</v>
      </c>
      <c r="AA20" s="164">
        <f>W20*(1/AC3)/'Feb 13(1)'!C19*100</f>
        <v>12.274466372673352</v>
      </c>
      <c r="AB20" s="164">
        <f>X20*(1/AC3)/'Feb 13(1)'!D19*100</f>
        <v>36.39950690143853</v>
      </c>
      <c r="AC20" s="164">
        <f>Y20*(1/AC3)/'Feb 13(1)'!E19*100</f>
        <v>18.67702787083301</v>
      </c>
      <c r="AD20" s="164">
        <f>Z20*(1/AC3)/'Feb 13(1)'!F19*100</f>
        <v>17.4142111527037</v>
      </c>
      <c r="AE20" s="29">
        <f>S20+'Feb 13(1)'!S19</f>
        <v>9596</v>
      </c>
      <c r="AF20" s="29">
        <f>T20+'Feb 13(1)'!T19</f>
        <v>1770</v>
      </c>
      <c r="AG20" s="29">
        <f>U20+'Feb 13(1)'!U19</f>
        <v>82218</v>
      </c>
      <c r="AH20" s="29">
        <f t="shared" si="10"/>
        <v>93584</v>
      </c>
      <c r="AI20" s="29">
        <f>W20+'Feb 13(1)'!W19</f>
        <v>100776</v>
      </c>
      <c r="AJ20" s="29">
        <f>X20+'Feb 13(1)'!X19</f>
        <v>21563</v>
      </c>
      <c r="AK20" s="29">
        <f>Y20+'Feb 13(1)'!Y19</f>
        <v>1751840</v>
      </c>
      <c r="AL20" s="29">
        <f t="shared" si="11"/>
        <v>1874179</v>
      </c>
      <c r="AM20" s="8"/>
      <c r="AN20" s="8"/>
      <c r="AO20" s="8"/>
      <c r="AP20" s="8"/>
      <c r="AQ20" s="42">
        <v>107050</v>
      </c>
      <c r="AR20" s="42">
        <v>42300</v>
      </c>
      <c r="AS20" s="42">
        <v>777934</v>
      </c>
      <c r="AT20" s="258">
        <v>126663</v>
      </c>
      <c r="AU20" s="258">
        <v>30203</v>
      </c>
      <c r="AV20" s="258">
        <v>327743</v>
      </c>
      <c r="AW20" s="42">
        <v>233713</v>
      </c>
      <c r="AX20" s="42">
        <v>72503</v>
      </c>
      <c r="AY20" s="42">
        <v>1105677</v>
      </c>
      <c r="AZ20" s="4">
        <f t="shared" si="12"/>
        <v>0</v>
      </c>
      <c r="BA20" s="4">
        <f t="shared" si="12"/>
        <v>0</v>
      </c>
      <c r="BB20" s="4">
        <f t="shared" si="12"/>
        <v>0</v>
      </c>
    </row>
    <row r="21" spans="1:54" ht="25.5" customHeight="1">
      <c r="A21" s="30">
        <v>15</v>
      </c>
      <c r="B21" s="31" t="s">
        <v>13</v>
      </c>
      <c r="C21" s="34">
        <v>709</v>
      </c>
      <c r="D21" s="34">
        <v>1398</v>
      </c>
      <c r="E21" s="34">
        <v>495</v>
      </c>
      <c r="F21" s="32">
        <f t="shared" si="4"/>
        <v>2602</v>
      </c>
      <c r="G21" s="33">
        <f t="shared" si="25"/>
        <v>8849</v>
      </c>
      <c r="H21" s="33">
        <f t="shared" si="25"/>
        <v>11037</v>
      </c>
      <c r="I21" s="33">
        <f>E21+AS21</f>
        <v>2742</v>
      </c>
      <c r="J21" s="32">
        <f t="shared" si="5"/>
        <v>22628</v>
      </c>
      <c r="K21" s="233"/>
      <c r="L21" s="233"/>
      <c r="M21" s="233"/>
      <c r="N21" s="29">
        <f t="shared" si="6"/>
        <v>0</v>
      </c>
      <c r="O21" s="32">
        <f t="shared" si="16"/>
        <v>0</v>
      </c>
      <c r="P21" s="32">
        <f t="shared" si="17"/>
        <v>0</v>
      </c>
      <c r="Q21" s="32">
        <f t="shared" si="18"/>
        <v>0</v>
      </c>
      <c r="R21" s="32">
        <f t="shared" si="7"/>
        <v>0</v>
      </c>
      <c r="S21" s="34">
        <f t="shared" si="23"/>
        <v>709</v>
      </c>
      <c r="T21" s="34">
        <f t="shared" si="24"/>
        <v>1398</v>
      </c>
      <c r="U21" s="34">
        <f t="shared" si="19"/>
        <v>495</v>
      </c>
      <c r="V21" s="32">
        <f t="shared" si="8"/>
        <v>2602</v>
      </c>
      <c r="W21" s="32">
        <f t="shared" si="20"/>
        <v>8849</v>
      </c>
      <c r="X21" s="32">
        <f t="shared" si="21"/>
        <v>11037</v>
      </c>
      <c r="Y21" s="32">
        <f t="shared" si="22"/>
        <v>2742</v>
      </c>
      <c r="Z21" s="32">
        <f t="shared" si="9"/>
        <v>22628</v>
      </c>
      <c r="AA21" s="165">
        <f>W21*(1/AC3)/'Feb 13(1)'!C20*100</f>
        <v>6.2754414580526205</v>
      </c>
      <c r="AB21" s="165">
        <f>X21*(1/AC3)/'Feb 13(1)'!D20*100</f>
        <v>14.559149430139298</v>
      </c>
      <c r="AC21" s="165">
        <f>Y21*(1/AC3)/'Feb 13(1)'!E20*100</f>
        <v>0.3740658585097937</v>
      </c>
      <c r="AD21" s="165">
        <f>Z21*(1/AC3)/'Feb 13(1)'!F20*100</f>
        <v>2.382285933269042</v>
      </c>
      <c r="AE21" s="32">
        <f>S21+'Feb 13(1)'!S20</f>
        <v>527</v>
      </c>
      <c r="AF21" s="32">
        <f>T21+'Feb 13(1)'!T20</f>
        <v>711</v>
      </c>
      <c r="AG21" s="32">
        <f>U21+'Feb 13(1)'!U20</f>
        <v>14193</v>
      </c>
      <c r="AH21" s="32">
        <f t="shared" si="10"/>
        <v>15431</v>
      </c>
      <c r="AI21" s="32">
        <f>W21+'Feb 13(1)'!W20</f>
        <v>7212</v>
      </c>
      <c r="AJ21" s="32">
        <f>X21+'Feb 13(1)'!X20</f>
        <v>3698</v>
      </c>
      <c r="AK21" s="32">
        <f>Y21+'Feb 13(1)'!Y20</f>
        <v>131177</v>
      </c>
      <c r="AL21" s="32">
        <f t="shared" si="11"/>
        <v>142087</v>
      </c>
      <c r="AM21" s="8"/>
      <c r="AN21" s="8"/>
      <c r="AO21" s="8"/>
      <c r="AP21" s="8"/>
      <c r="AQ21" s="42">
        <v>8140</v>
      </c>
      <c r="AR21" s="42">
        <v>9639</v>
      </c>
      <c r="AS21" s="42">
        <v>2247</v>
      </c>
      <c r="AT21" s="258">
        <v>0</v>
      </c>
      <c r="AU21" s="258">
        <v>0</v>
      </c>
      <c r="AV21" s="258">
        <v>0</v>
      </c>
      <c r="AW21" s="42">
        <v>8140</v>
      </c>
      <c r="AX21" s="42">
        <v>9639</v>
      </c>
      <c r="AY21" s="42">
        <v>2247</v>
      </c>
      <c r="AZ21" s="4">
        <f t="shared" si="12"/>
        <v>0</v>
      </c>
      <c r="BA21" s="4">
        <f t="shared" si="12"/>
        <v>0</v>
      </c>
      <c r="BB21" s="4">
        <f t="shared" si="12"/>
        <v>0</v>
      </c>
    </row>
    <row r="22" spans="1:54" ht="25.5" customHeight="1">
      <c r="A22" s="60">
        <v>16</v>
      </c>
      <c r="B22" s="45" t="s">
        <v>12</v>
      </c>
      <c r="C22" s="33">
        <v>165</v>
      </c>
      <c r="D22" s="33">
        <v>19</v>
      </c>
      <c r="E22" s="33">
        <v>0</v>
      </c>
      <c r="F22" s="35">
        <f t="shared" si="4"/>
        <v>184</v>
      </c>
      <c r="G22" s="26">
        <f t="shared" si="13"/>
        <v>4950</v>
      </c>
      <c r="H22" s="26">
        <f t="shared" si="14"/>
        <v>162</v>
      </c>
      <c r="I22" s="26">
        <f>E22+AS22</f>
        <v>0</v>
      </c>
      <c r="J22" s="35">
        <f t="shared" si="5"/>
        <v>5112</v>
      </c>
      <c r="K22" s="33">
        <v>147</v>
      </c>
      <c r="L22" s="33">
        <v>1</v>
      </c>
      <c r="M22" s="33">
        <v>22150</v>
      </c>
      <c r="N22" s="35">
        <f t="shared" si="6"/>
        <v>22298</v>
      </c>
      <c r="O22" s="26">
        <f t="shared" si="16"/>
        <v>33386</v>
      </c>
      <c r="P22" s="26">
        <f t="shared" si="17"/>
        <v>225</v>
      </c>
      <c r="Q22" s="26">
        <f t="shared" si="18"/>
        <v>135695</v>
      </c>
      <c r="R22" s="35">
        <f t="shared" si="7"/>
        <v>169306</v>
      </c>
      <c r="S22" s="35">
        <f t="shared" si="23"/>
        <v>312</v>
      </c>
      <c r="T22" s="35">
        <f t="shared" si="24"/>
        <v>20</v>
      </c>
      <c r="U22" s="35">
        <f t="shared" si="19"/>
        <v>22150</v>
      </c>
      <c r="V22" s="35">
        <f t="shared" si="8"/>
        <v>22482</v>
      </c>
      <c r="W22" s="26">
        <f t="shared" si="20"/>
        <v>38336</v>
      </c>
      <c r="X22" s="26">
        <f t="shared" si="21"/>
        <v>387</v>
      </c>
      <c r="Y22" s="26">
        <f t="shared" si="22"/>
        <v>135695</v>
      </c>
      <c r="Z22" s="26">
        <f t="shared" si="9"/>
        <v>174418</v>
      </c>
      <c r="AA22" s="163">
        <f>W22*(1/AC3)/'Feb 13(1)'!C21*100</f>
        <v>34.49995050351425</v>
      </c>
      <c r="AB22" s="163">
        <f>X22*(1/AC3)/'Feb 13(1)'!D21*100</f>
        <v>0.5258152173913043</v>
      </c>
      <c r="AC22" s="163">
        <f>Y22*(1/AC3)/'Feb 13(1)'!E21*100</f>
        <v>18.489223533002505</v>
      </c>
      <c r="AD22" s="163">
        <f>Z22*(1/AC3)/'Feb 13(1)'!F21*100</f>
        <v>18.98669000569324</v>
      </c>
      <c r="AE22" s="35">
        <f>S22+'Feb 13(1)'!S21</f>
        <v>438</v>
      </c>
      <c r="AF22" s="35">
        <f>T22+'Feb 13(1)'!T21</f>
        <v>556</v>
      </c>
      <c r="AG22" s="26">
        <f>U22+'Feb 13(1)'!U21</f>
        <v>15369</v>
      </c>
      <c r="AH22" s="26">
        <f t="shared" si="10"/>
        <v>16363</v>
      </c>
      <c r="AI22" s="26">
        <f>W22+'Feb 13(1)'!W21</f>
        <v>4703</v>
      </c>
      <c r="AJ22" s="26">
        <f>X22+'Feb 13(1)'!X21</f>
        <v>4598</v>
      </c>
      <c r="AK22" s="26">
        <f>Y22+'Feb 13(1)'!Y21</f>
        <v>134330</v>
      </c>
      <c r="AL22" s="26">
        <f t="shared" si="11"/>
        <v>143631</v>
      </c>
      <c r="AM22" s="8"/>
      <c r="AN22" s="8"/>
      <c r="AO22" s="8"/>
      <c r="AP22" s="8"/>
      <c r="AQ22" s="42">
        <v>4785</v>
      </c>
      <c r="AR22" s="42">
        <v>143</v>
      </c>
      <c r="AS22" s="42">
        <v>0</v>
      </c>
      <c r="AT22" s="258">
        <v>33239</v>
      </c>
      <c r="AU22" s="258">
        <v>224</v>
      </c>
      <c r="AV22" s="258">
        <v>113545</v>
      </c>
      <c r="AW22" s="42">
        <v>38024</v>
      </c>
      <c r="AX22" s="42">
        <v>367</v>
      </c>
      <c r="AY22" s="42">
        <v>113545</v>
      </c>
      <c r="AZ22" s="4">
        <f t="shared" si="12"/>
        <v>0</v>
      </c>
      <c r="BA22" s="4">
        <f t="shared" si="12"/>
        <v>0</v>
      </c>
      <c r="BB22" s="4">
        <f t="shared" si="12"/>
        <v>0</v>
      </c>
    </row>
    <row r="23" spans="1:54" ht="25.5" customHeight="1">
      <c r="A23" s="27">
        <v>17</v>
      </c>
      <c r="B23" s="28" t="s">
        <v>69</v>
      </c>
      <c r="C23" s="33">
        <v>1058</v>
      </c>
      <c r="D23" s="33">
        <v>72</v>
      </c>
      <c r="E23" s="33">
        <v>1492</v>
      </c>
      <c r="F23" s="29">
        <f>SUM(C23:E23)</f>
        <v>2622</v>
      </c>
      <c r="G23" s="29">
        <f t="shared" si="13"/>
        <v>65411</v>
      </c>
      <c r="H23" s="29">
        <f t="shared" si="14"/>
        <v>4160</v>
      </c>
      <c r="I23" s="29">
        <f t="shared" si="15"/>
        <v>21153</v>
      </c>
      <c r="J23" s="29">
        <f t="shared" si="5"/>
        <v>90724</v>
      </c>
      <c r="K23" s="33">
        <v>1716</v>
      </c>
      <c r="L23" s="33">
        <v>979</v>
      </c>
      <c r="M23" s="33">
        <v>19229</v>
      </c>
      <c r="N23" s="29">
        <f t="shared" si="6"/>
        <v>21924</v>
      </c>
      <c r="O23" s="29">
        <f t="shared" si="16"/>
        <v>21995</v>
      </c>
      <c r="P23" s="29">
        <f t="shared" si="17"/>
        <v>57037</v>
      </c>
      <c r="Q23" s="29">
        <f t="shared" si="18"/>
        <v>586096</v>
      </c>
      <c r="R23" s="29">
        <f t="shared" si="7"/>
        <v>665128</v>
      </c>
      <c r="S23" s="33">
        <f t="shared" si="23"/>
        <v>2774</v>
      </c>
      <c r="T23" s="33">
        <f t="shared" si="24"/>
        <v>1051</v>
      </c>
      <c r="U23" s="33">
        <f t="shared" si="19"/>
        <v>20721</v>
      </c>
      <c r="V23" s="29">
        <f t="shared" si="8"/>
        <v>24546</v>
      </c>
      <c r="W23" s="29">
        <f t="shared" si="20"/>
        <v>87406</v>
      </c>
      <c r="X23" s="29">
        <f t="shared" si="21"/>
        <v>61197</v>
      </c>
      <c r="Y23" s="29">
        <f t="shared" si="22"/>
        <v>607249</v>
      </c>
      <c r="Z23" s="29">
        <f t="shared" si="9"/>
        <v>755852</v>
      </c>
      <c r="AA23" s="164">
        <f>W23*(1/AC3)/'Feb 13(1)'!C22*100</f>
        <v>19.359883051297956</v>
      </c>
      <c r="AB23" s="164">
        <f>X23*(1/AC3)/'Feb 13(1)'!D22*100</f>
        <v>46.951458098372726</v>
      </c>
      <c r="AC23" s="164">
        <f>Y23*(1/AC3)/'Feb 13(1)'!E22*100</f>
        <v>14.075349427354272</v>
      </c>
      <c r="AD23" s="164">
        <f>Z23*(1/AC3)/'Feb 13(1)'!F22*100</f>
        <v>15.437857198003144</v>
      </c>
      <c r="AE23" s="29">
        <f>S23+'Feb 13(1)'!S22</f>
        <v>2386</v>
      </c>
      <c r="AF23" s="29">
        <f>T23+'Feb 13(1)'!T22</f>
        <v>393</v>
      </c>
      <c r="AG23" s="29">
        <f>U23+'Feb 13(1)'!U22</f>
        <v>54373</v>
      </c>
      <c r="AH23" s="29">
        <f t="shared" si="10"/>
        <v>57152</v>
      </c>
      <c r="AI23" s="29">
        <f>W23+'Feb 13(1)'!W22</f>
        <v>21022</v>
      </c>
      <c r="AJ23" s="29">
        <f>X23+'Feb 13(1)'!X22</f>
        <v>3899</v>
      </c>
      <c r="AK23" s="29">
        <f>Y23+'Feb 13(1)'!Y22</f>
        <v>723605</v>
      </c>
      <c r="AL23" s="29">
        <f t="shared" si="11"/>
        <v>748526</v>
      </c>
      <c r="AM23" s="8"/>
      <c r="AN23" s="8"/>
      <c r="AO23" s="8"/>
      <c r="AP23" s="8"/>
      <c r="AQ23" s="42">
        <v>64353</v>
      </c>
      <c r="AR23" s="42">
        <v>4088</v>
      </c>
      <c r="AS23" s="42">
        <v>19661</v>
      </c>
      <c r="AT23" s="258">
        <v>20279</v>
      </c>
      <c r="AU23" s="258">
        <v>56058</v>
      </c>
      <c r="AV23" s="258">
        <v>566867</v>
      </c>
      <c r="AW23" s="42">
        <v>84632</v>
      </c>
      <c r="AX23" s="42">
        <v>60146</v>
      </c>
      <c r="AY23" s="42">
        <v>586528</v>
      </c>
      <c r="AZ23" s="4">
        <f t="shared" si="12"/>
        <v>0</v>
      </c>
      <c r="BA23" s="4">
        <f t="shared" si="12"/>
        <v>0</v>
      </c>
      <c r="BB23" s="4">
        <f t="shared" si="12"/>
        <v>0</v>
      </c>
    </row>
    <row r="24" spans="1:54" ht="25.5" customHeight="1">
      <c r="A24" s="30">
        <v>18</v>
      </c>
      <c r="B24" s="31" t="s">
        <v>37</v>
      </c>
      <c r="C24" s="34">
        <v>3884</v>
      </c>
      <c r="D24" s="34">
        <v>1367</v>
      </c>
      <c r="E24" s="34">
        <v>43286</v>
      </c>
      <c r="F24" s="32">
        <f t="shared" si="4"/>
        <v>48537</v>
      </c>
      <c r="G24" s="29">
        <f t="shared" si="13"/>
        <v>65202</v>
      </c>
      <c r="H24" s="32">
        <f t="shared" si="14"/>
        <v>20663</v>
      </c>
      <c r="I24" s="32">
        <f t="shared" si="15"/>
        <v>877868</v>
      </c>
      <c r="J24" s="32">
        <f t="shared" si="5"/>
        <v>963733</v>
      </c>
      <c r="K24" s="34">
        <v>22056</v>
      </c>
      <c r="L24" s="34">
        <v>177</v>
      </c>
      <c r="M24" s="34">
        <v>0</v>
      </c>
      <c r="N24" s="32">
        <f t="shared" si="6"/>
        <v>22233</v>
      </c>
      <c r="O24" s="32">
        <f t="shared" si="16"/>
        <v>82497</v>
      </c>
      <c r="P24" s="32">
        <f t="shared" si="17"/>
        <v>1595</v>
      </c>
      <c r="Q24" s="32">
        <f t="shared" si="18"/>
        <v>0</v>
      </c>
      <c r="R24" s="32">
        <f t="shared" si="7"/>
        <v>84092</v>
      </c>
      <c r="S24" s="34">
        <f t="shared" si="23"/>
        <v>25940</v>
      </c>
      <c r="T24" s="34">
        <f t="shared" si="24"/>
        <v>1544</v>
      </c>
      <c r="U24" s="34">
        <f t="shared" si="19"/>
        <v>43286</v>
      </c>
      <c r="V24" s="32">
        <f t="shared" si="8"/>
        <v>70770</v>
      </c>
      <c r="W24" s="32">
        <f t="shared" si="20"/>
        <v>147699</v>
      </c>
      <c r="X24" s="32">
        <f t="shared" si="21"/>
        <v>22258</v>
      </c>
      <c r="Y24" s="32">
        <f t="shared" si="22"/>
        <v>877868</v>
      </c>
      <c r="Z24" s="32">
        <f t="shared" si="9"/>
        <v>1047825</v>
      </c>
      <c r="AA24" s="165">
        <f>W24*(1/AC3)/'Feb 13(1)'!C23*100</f>
        <v>13.551398867987196</v>
      </c>
      <c r="AB24" s="165">
        <f>X24*(1/AC3)/'Feb 13(1)'!D23*100</f>
        <v>38.87113393059849</v>
      </c>
      <c r="AC24" s="165">
        <f>Y24*(1/AC3)/'Feb 13(1)'!E23*100</f>
        <v>18.960120740998637</v>
      </c>
      <c r="AD24" s="165">
        <f>Z24*(1/AC3)/'Feb 13(1)'!F23*100</f>
        <v>18.137076888085584</v>
      </c>
      <c r="AE24" s="32">
        <f>S24+'Feb 13(1)'!S23</f>
        <v>5000</v>
      </c>
      <c r="AF24" s="32">
        <f>T24+'Feb 13(1)'!T23</f>
        <v>704</v>
      </c>
      <c r="AG24" s="32">
        <f>U24+'Feb 13(1)'!U23</f>
        <v>42031</v>
      </c>
      <c r="AH24" s="32">
        <f t="shared" si="10"/>
        <v>47735</v>
      </c>
      <c r="AI24" s="32">
        <f>W24+'Feb 13(1)'!W23</f>
        <v>56290</v>
      </c>
      <c r="AJ24" s="32">
        <f>X24+'Feb 13(1)'!X23</f>
        <v>6134</v>
      </c>
      <c r="AK24" s="32">
        <f>Y24+'Feb 13(1)'!Y23</f>
        <v>601799</v>
      </c>
      <c r="AL24" s="32">
        <f t="shared" si="11"/>
        <v>664223</v>
      </c>
      <c r="AM24" s="8"/>
      <c r="AN24" s="8"/>
      <c r="AO24" s="8"/>
      <c r="AP24" s="8"/>
      <c r="AQ24" s="42">
        <v>61318</v>
      </c>
      <c r="AR24" s="42">
        <v>19296</v>
      </c>
      <c r="AS24" s="42">
        <v>834582</v>
      </c>
      <c r="AT24" s="258">
        <v>60441</v>
      </c>
      <c r="AU24" s="258">
        <v>1418</v>
      </c>
      <c r="AV24" s="258">
        <v>0</v>
      </c>
      <c r="AW24" s="42">
        <v>121759</v>
      </c>
      <c r="AX24" s="42">
        <v>20714</v>
      </c>
      <c r="AY24" s="42">
        <v>834582</v>
      </c>
      <c r="AZ24" s="4">
        <f t="shared" si="12"/>
        <v>0</v>
      </c>
      <c r="BA24" s="4">
        <f t="shared" si="12"/>
        <v>0</v>
      </c>
      <c r="BB24" s="4">
        <f t="shared" si="12"/>
        <v>0</v>
      </c>
    </row>
    <row r="25" spans="1:54" ht="25.5" customHeight="1">
      <c r="A25" s="59">
        <v>19</v>
      </c>
      <c r="B25" s="25" t="s">
        <v>70</v>
      </c>
      <c r="C25" s="35">
        <f>5812+3899</f>
        <v>9711</v>
      </c>
      <c r="D25" s="35">
        <v>1095</v>
      </c>
      <c r="E25" s="35">
        <v>15445</v>
      </c>
      <c r="F25" s="35">
        <f t="shared" si="4"/>
        <v>26251</v>
      </c>
      <c r="G25" s="26">
        <f t="shared" si="13"/>
        <v>80401</v>
      </c>
      <c r="H25" s="26">
        <f t="shared" si="14"/>
        <v>39321</v>
      </c>
      <c r="I25" s="26">
        <f t="shared" si="15"/>
        <v>498335</v>
      </c>
      <c r="J25" s="26">
        <f t="shared" si="5"/>
        <v>618057</v>
      </c>
      <c r="K25" s="35">
        <v>20244</v>
      </c>
      <c r="L25" s="35">
        <v>0</v>
      </c>
      <c r="M25" s="231"/>
      <c r="N25" s="26">
        <f t="shared" si="6"/>
        <v>20244</v>
      </c>
      <c r="O25" s="26">
        <f t="shared" si="16"/>
        <v>113075</v>
      </c>
      <c r="P25" s="26">
        <f t="shared" si="17"/>
        <v>90537</v>
      </c>
      <c r="Q25" s="26">
        <f t="shared" si="18"/>
        <v>0</v>
      </c>
      <c r="R25" s="26">
        <f t="shared" si="7"/>
        <v>203612</v>
      </c>
      <c r="S25" s="35">
        <f t="shared" si="23"/>
        <v>29955</v>
      </c>
      <c r="T25" s="35">
        <f t="shared" si="24"/>
        <v>1095</v>
      </c>
      <c r="U25" s="35">
        <f t="shared" si="19"/>
        <v>15445</v>
      </c>
      <c r="V25" s="26">
        <f t="shared" si="8"/>
        <v>46495</v>
      </c>
      <c r="W25" s="26">
        <f>S25+AW25</f>
        <v>193476</v>
      </c>
      <c r="X25" s="26">
        <f t="shared" si="21"/>
        <v>129858</v>
      </c>
      <c r="Y25" s="26">
        <f t="shared" si="22"/>
        <v>498335</v>
      </c>
      <c r="Z25" s="26">
        <f t="shared" si="9"/>
        <v>821669</v>
      </c>
      <c r="AA25" s="163">
        <f>W25*(1/AC3)/'Feb 13(1)'!C24*100</f>
        <v>18.485704048728056</v>
      </c>
      <c r="AB25" s="163">
        <f>X25*(1/AC3)/'Feb 13(1)'!D24*100</f>
        <v>62.684578661041414</v>
      </c>
      <c r="AC25" s="163">
        <f>Y25*(1/AC3)/'Feb 13(1)'!E24*100</f>
        <v>9.152680713260207</v>
      </c>
      <c r="AD25" s="163">
        <f>Z25*(1/AC3)/'Feb 13(1)'!F24*100</f>
        <v>12.266508421692997</v>
      </c>
      <c r="AE25" s="26">
        <f>S25+'Feb 13(1)'!S24</f>
        <v>6053</v>
      </c>
      <c r="AF25" s="26">
        <f>T25+'Feb 13(1)'!T24</f>
        <v>1116</v>
      </c>
      <c r="AG25" s="26">
        <f>U25+'Feb 13(1)'!U24</f>
        <v>45440</v>
      </c>
      <c r="AH25" s="26">
        <f t="shared" si="10"/>
        <v>52609</v>
      </c>
      <c r="AI25" s="26">
        <f>W25+'Feb 13(1)'!W24</f>
        <v>51706</v>
      </c>
      <c r="AJ25" s="26">
        <f>X25+'Feb 13(1)'!X24</f>
        <v>104041</v>
      </c>
      <c r="AK25" s="26">
        <f>Y25+'Feb 13(1)'!Y24</f>
        <v>814163</v>
      </c>
      <c r="AL25" s="26">
        <f t="shared" si="11"/>
        <v>969910</v>
      </c>
      <c r="AM25" s="8"/>
      <c r="AN25" s="8"/>
      <c r="AO25" s="8"/>
      <c r="AP25" s="8"/>
      <c r="AQ25" s="42">
        <v>70690</v>
      </c>
      <c r="AR25" s="42">
        <v>38226</v>
      </c>
      <c r="AS25" s="42">
        <v>482890</v>
      </c>
      <c r="AT25" s="258">
        <v>92831</v>
      </c>
      <c r="AU25" s="258">
        <v>90537</v>
      </c>
      <c r="AV25" s="258">
        <v>0</v>
      </c>
      <c r="AW25" s="42">
        <v>163521</v>
      </c>
      <c r="AX25" s="42">
        <v>128763</v>
      </c>
      <c r="AY25" s="42">
        <v>482890</v>
      </c>
      <c r="AZ25" s="4">
        <f t="shared" si="12"/>
        <v>0</v>
      </c>
      <c r="BA25" s="4">
        <f t="shared" si="12"/>
        <v>0</v>
      </c>
      <c r="BB25" s="4">
        <f t="shared" si="12"/>
        <v>0</v>
      </c>
    </row>
    <row r="26" spans="1:54" ht="25.5" customHeight="1">
      <c r="A26" s="27">
        <v>20</v>
      </c>
      <c r="B26" s="28" t="s">
        <v>71</v>
      </c>
      <c r="C26" s="33">
        <v>9358</v>
      </c>
      <c r="D26" s="33">
        <v>758</v>
      </c>
      <c r="E26" s="33">
        <v>1749</v>
      </c>
      <c r="F26" s="29">
        <f t="shared" si="4"/>
        <v>11865</v>
      </c>
      <c r="G26" s="29">
        <f t="shared" si="13"/>
        <v>112953</v>
      </c>
      <c r="H26" s="29">
        <f t="shared" si="14"/>
        <v>323426</v>
      </c>
      <c r="I26" s="29">
        <f t="shared" si="15"/>
        <v>639683</v>
      </c>
      <c r="J26" s="29">
        <f t="shared" si="5"/>
        <v>1076062</v>
      </c>
      <c r="K26" s="33">
        <v>8709</v>
      </c>
      <c r="L26" s="33">
        <v>5692</v>
      </c>
      <c r="M26" s="33">
        <v>1442</v>
      </c>
      <c r="N26" s="29">
        <f t="shared" si="6"/>
        <v>15843</v>
      </c>
      <c r="O26" s="29">
        <f t="shared" si="16"/>
        <v>81787</v>
      </c>
      <c r="P26" s="29">
        <f t="shared" si="17"/>
        <v>9751</v>
      </c>
      <c r="Q26" s="29">
        <f t="shared" si="18"/>
        <v>6268</v>
      </c>
      <c r="R26" s="29">
        <f t="shared" si="7"/>
        <v>97806</v>
      </c>
      <c r="S26" s="33">
        <f t="shared" si="23"/>
        <v>18067</v>
      </c>
      <c r="T26" s="33">
        <f t="shared" si="24"/>
        <v>6450</v>
      </c>
      <c r="U26" s="33">
        <f t="shared" si="19"/>
        <v>3191</v>
      </c>
      <c r="V26" s="29">
        <f t="shared" si="8"/>
        <v>27708</v>
      </c>
      <c r="W26" s="29">
        <f t="shared" si="20"/>
        <v>194740</v>
      </c>
      <c r="X26" s="29">
        <f t="shared" si="21"/>
        <v>333177</v>
      </c>
      <c r="Y26" s="29">
        <f t="shared" si="22"/>
        <v>645951</v>
      </c>
      <c r="Z26" s="29">
        <f t="shared" si="9"/>
        <v>1173868</v>
      </c>
      <c r="AA26" s="164">
        <f>W26*(1/AC3)/'Feb 13(1)'!C25*100</f>
        <v>11.693237749090763</v>
      </c>
      <c r="AB26" s="164">
        <f>X26*(1/AC3)/'Feb 13(1)'!D25*100</f>
        <v>79.8359559769677</v>
      </c>
      <c r="AC26" s="164">
        <f>Y26*(1/AC3)/'Feb 13(1)'!E25*100</f>
        <v>8.471739621397303</v>
      </c>
      <c r="AD26" s="164">
        <f>Z26*(1/AC3)/'Feb 13(1)'!F25*100</f>
        <v>12.092372213342498</v>
      </c>
      <c r="AE26" s="29">
        <f>S26+'Feb 13(1)'!S25</f>
        <v>12108</v>
      </c>
      <c r="AF26" s="29">
        <f>T26+'Feb 13(1)'!T25</f>
        <v>1191</v>
      </c>
      <c r="AG26" s="29">
        <f>U26+'Feb 13(1)'!U25</f>
        <v>59270</v>
      </c>
      <c r="AH26" s="29">
        <f t="shared" si="10"/>
        <v>72569</v>
      </c>
      <c r="AI26" s="29">
        <f>W26+'Feb 13(1)'!W25</f>
        <v>121540</v>
      </c>
      <c r="AJ26" s="29">
        <f>X26+'Feb 13(1)'!X25</f>
        <v>15978</v>
      </c>
      <c r="AK26" s="29">
        <f>Y26+'Feb 13(1)'!Y25</f>
        <v>870911</v>
      </c>
      <c r="AL26" s="29">
        <f t="shared" si="11"/>
        <v>1008429</v>
      </c>
      <c r="AM26" s="8"/>
      <c r="AN26" s="8"/>
      <c r="AO26" s="8"/>
      <c r="AP26" s="8"/>
      <c r="AQ26" s="29">
        <v>103595</v>
      </c>
      <c r="AR26" s="29">
        <v>322668</v>
      </c>
      <c r="AS26" s="29">
        <v>637934</v>
      </c>
      <c r="AT26" s="258">
        <v>73078</v>
      </c>
      <c r="AU26" s="258">
        <v>4059</v>
      </c>
      <c r="AV26" s="258">
        <v>4826</v>
      </c>
      <c r="AW26" s="42">
        <v>176673</v>
      </c>
      <c r="AX26" s="42">
        <v>326727</v>
      </c>
      <c r="AY26" s="42">
        <v>642760</v>
      </c>
      <c r="AZ26" s="4">
        <f t="shared" si="12"/>
        <v>0</v>
      </c>
      <c r="BA26" s="4">
        <f t="shared" si="12"/>
        <v>0</v>
      </c>
      <c r="BB26" s="4">
        <f t="shared" si="12"/>
        <v>0</v>
      </c>
    </row>
    <row r="27" spans="1:54" ht="25.5" customHeight="1">
      <c r="A27" s="61">
        <v>21</v>
      </c>
      <c r="B27" s="31" t="s">
        <v>72</v>
      </c>
      <c r="C27" s="34">
        <v>899</v>
      </c>
      <c r="D27" s="34">
        <v>712</v>
      </c>
      <c r="E27" s="34">
        <v>13562</v>
      </c>
      <c r="F27" s="32">
        <f t="shared" si="4"/>
        <v>15173</v>
      </c>
      <c r="G27" s="32">
        <f t="shared" si="13"/>
        <v>25936</v>
      </c>
      <c r="H27" s="32">
        <f t="shared" si="14"/>
        <v>15136</v>
      </c>
      <c r="I27" s="32">
        <f t="shared" si="15"/>
        <v>210540</v>
      </c>
      <c r="J27" s="32">
        <f t="shared" si="5"/>
        <v>251612</v>
      </c>
      <c r="K27" s="233"/>
      <c r="L27" s="233"/>
      <c r="M27" s="233"/>
      <c r="N27" s="32">
        <f t="shared" si="6"/>
        <v>0</v>
      </c>
      <c r="O27" s="32">
        <f t="shared" si="16"/>
        <v>0</v>
      </c>
      <c r="P27" s="32">
        <f t="shared" si="17"/>
        <v>0</v>
      </c>
      <c r="Q27" s="32">
        <f t="shared" si="18"/>
        <v>0</v>
      </c>
      <c r="R27" s="32">
        <f t="shared" si="7"/>
        <v>0</v>
      </c>
      <c r="S27" s="34">
        <f t="shared" si="23"/>
        <v>899</v>
      </c>
      <c r="T27" s="34">
        <f t="shared" si="24"/>
        <v>712</v>
      </c>
      <c r="U27" s="34">
        <f t="shared" si="19"/>
        <v>13562</v>
      </c>
      <c r="V27" s="32">
        <f t="shared" si="8"/>
        <v>15173</v>
      </c>
      <c r="W27" s="32">
        <f t="shared" si="20"/>
        <v>25936</v>
      </c>
      <c r="X27" s="32">
        <f>T27+AX27</f>
        <v>15136</v>
      </c>
      <c r="Y27" s="32">
        <f t="shared" si="22"/>
        <v>210540</v>
      </c>
      <c r="Z27" s="32">
        <f t="shared" si="9"/>
        <v>251612</v>
      </c>
      <c r="AA27" s="165">
        <f>W27*(1/AC3)/'Feb 13(1)'!C26*100</f>
        <v>11.766840882694542</v>
      </c>
      <c r="AB27" s="165">
        <f>X27*(1/AC3)/'Feb 13(1)'!D26*100</f>
        <v>25.946687237507497</v>
      </c>
      <c r="AC27" s="165">
        <f>Y27*(1/AC3)/'Feb 13(1)'!E26*100</f>
        <v>15.473214010115575</v>
      </c>
      <c r="AD27" s="165">
        <f>Z27*(1/AC3)/'Feb 13(1)'!F26*100</f>
        <v>15.347576131875504</v>
      </c>
      <c r="AE27" s="32">
        <f>S27+'Feb 13(1)'!S26</f>
        <v>848</v>
      </c>
      <c r="AF27" s="32">
        <f>T27+'Feb 13(1)'!T26</f>
        <v>273</v>
      </c>
      <c r="AG27" s="32">
        <f>U27+'Feb 13(1)'!U26</f>
        <v>13529</v>
      </c>
      <c r="AH27" s="32">
        <f t="shared" si="10"/>
        <v>14650</v>
      </c>
      <c r="AI27" s="32">
        <f>W27+'Feb 13(1)'!W26</f>
        <v>8320</v>
      </c>
      <c r="AJ27" s="32">
        <f>X27+'Feb 13(1)'!X26</f>
        <v>2627</v>
      </c>
      <c r="AK27" s="32">
        <f>Y27+'Feb 13(1)'!Y26</f>
        <v>194665</v>
      </c>
      <c r="AL27" s="32">
        <f t="shared" si="11"/>
        <v>205612</v>
      </c>
      <c r="AM27" s="8"/>
      <c r="AN27" s="8"/>
      <c r="AO27" s="8"/>
      <c r="AP27" s="8"/>
      <c r="AQ27" s="42">
        <v>25037</v>
      </c>
      <c r="AR27" s="42">
        <v>14424</v>
      </c>
      <c r="AS27" s="42">
        <v>196978</v>
      </c>
      <c r="AT27" s="258">
        <v>0</v>
      </c>
      <c r="AU27" s="258">
        <v>0</v>
      </c>
      <c r="AV27" s="258">
        <v>0</v>
      </c>
      <c r="AW27" s="42">
        <v>25037</v>
      </c>
      <c r="AX27" s="42">
        <v>14424</v>
      </c>
      <c r="AY27" s="42">
        <v>196978</v>
      </c>
      <c r="AZ27" s="4">
        <f t="shared" si="12"/>
        <v>0</v>
      </c>
      <c r="BA27" s="4">
        <f t="shared" si="12"/>
        <v>0</v>
      </c>
      <c r="BB27" s="4">
        <f t="shared" si="12"/>
        <v>0</v>
      </c>
    </row>
    <row r="28" spans="1:54" ht="25.5" customHeight="1">
      <c r="A28" s="59">
        <v>22</v>
      </c>
      <c r="B28" s="44" t="s">
        <v>7</v>
      </c>
      <c r="C28" s="35">
        <v>2586</v>
      </c>
      <c r="D28" s="35">
        <v>368</v>
      </c>
      <c r="E28" s="35">
        <v>321</v>
      </c>
      <c r="F28" s="26">
        <f t="shared" si="4"/>
        <v>3275</v>
      </c>
      <c r="G28" s="26">
        <f t="shared" si="13"/>
        <v>134545</v>
      </c>
      <c r="H28" s="26">
        <f t="shared" si="14"/>
        <v>9696</v>
      </c>
      <c r="I28" s="26">
        <f t="shared" si="15"/>
        <v>46345</v>
      </c>
      <c r="J28" s="26">
        <f t="shared" si="5"/>
        <v>190586</v>
      </c>
      <c r="K28" s="35">
        <v>2355</v>
      </c>
      <c r="L28" s="35">
        <v>2038</v>
      </c>
      <c r="M28" s="35">
        <v>10298</v>
      </c>
      <c r="N28" s="35">
        <f t="shared" si="6"/>
        <v>14691</v>
      </c>
      <c r="O28" s="26">
        <f t="shared" si="16"/>
        <v>110131</v>
      </c>
      <c r="P28" s="26">
        <f t="shared" si="17"/>
        <v>34764</v>
      </c>
      <c r="Q28" s="26">
        <f t="shared" si="18"/>
        <v>84450</v>
      </c>
      <c r="R28" s="26">
        <f t="shared" si="7"/>
        <v>229345</v>
      </c>
      <c r="S28" s="35">
        <f t="shared" si="23"/>
        <v>4941</v>
      </c>
      <c r="T28" s="35">
        <f t="shared" si="24"/>
        <v>2406</v>
      </c>
      <c r="U28" s="35">
        <f t="shared" si="19"/>
        <v>10619</v>
      </c>
      <c r="V28" s="26">
        <f t="shared" si="8"/>
        <v>17966</v>
      </c>
      <c r="W28" s="26">
        <f t="shared" si="20"/>
        <v>244676</v>
      </c>
      <c r="X28" s="26">
        <f t="shared" si="21"/>
        <v>44460</v>
      </c>
      <c r="Y28" s="26">
        <f t="shared" si="22"/>
        <v>130795</v>
      </c>
      <c r="Z28" s="26">
        <f t="shared" si="9"/>
        <v>419931</v>
      </c>
      <c r="AA28" s="163">
        <f>W28*(1/AC3)/'Feb 13(1)'!C27*100</f>
        <v>20.955356515810983</v>
      </c>
      <c r="AB28" s="164">
        <f>X28*(1/AC3)/'Feb 13(1)'!D27*100</f>
        <v>9.894776199124026</v>
      </c>
      <c r="AC28" s="163">
        <f>Y28*(1/AC3)/'Feb 13(1)'!E27*100</f>
        <v>1.352944188401577</v>
      </c>
      <c r="AD28" s="163">
        <f>Z28*(1/AC3)/'Feb 13(1)'!F27*100</f>
        <v>3.7213511894196296</v>
      </c>
      <c r="AE28" s="26">
        <f>S28+'Feb 13(1)'!S27</f>
        <v>2038</v>
      </c>
      <c r="AF28" s="26">
        <f>T28+'Feb 13(1)'!T27</f>
        <v>1093</v>
      </c>
      <c r="AG28" s="26">
        <f>U28+'Feb 13(1)'!U27</f>
        <v>91333</v>
      </c>
      <c r="AH28" s="26">
        <f t="shared" si="10"/>
        <v>94464</v>
      </c>
      <c r="AI28" s="26">
        <f>W28+'Feb 13(1)'!W27</f>
        <v>24518</v>
      </c>
      <c r="AJ28" s="26">
        <f>X28+'Feb 13(1)'!X27</f>
        <v>15878</v>
      </c>
      <c r="AK28" s="26">
        <f>Y28+'Feb 13(1)'!Y27</f>
        <v>425324</v>
      </c>
      <c r="AL28" s="26">
        <f t="shared" si="11"/>
        <v>465720</v>
      </c>
      <c r="AM28" s="8"/>
      <c r="AN28" s="8"/>
      <c r="AO28" s="8"/>
      <c r="AP28" s="8"/>
      <c r="AQ28" s="42">
        <v>131959</v>
      </c>
      <c r="AR28" s="42">
        <v>9328</v>
      </c>
      <c r="AS28" s="42">
        <v>46024</v>
      </c>
      <c r="AT28" s="258">
        <v>107776</v>
      </c>
      <c r="AU28" s="258">
        <v>32726</v>
      </c>
      <c r="AV28" s="258">
        <v>74152</v>
      </c>
      <c r="AW28" s="42">
        <v>239735</v>
      </c>
      <c r="AX28" s="42">
        <v>42054</v>
      </c>
      <c r="AY28" s="42">
        <v>120176</v>
      </c>
      <c r="AZ28" s="4">
        <f t="shared" si="12"/>
        <v>0</v>
      </c>
      <c r="BA28" s="4">
        <f t="shared" si="12"/>
        <v>0</v>
      </c>
      <c r="BB28" s="4">
        <f t="shared" si="12"/>
        <v>0</v>
      </c>
    </row>
    <row r="29" spans="1:54" ht="25.5" customHeight="1">
      <c r="A29" s="60">
        <v>23</v>
      </c>
      <c r="B29" s="28" t="s">
        <v>8</v>
      </c>
      <c r="C29" s="33">
        <v>1946</v>
      </c>
      <c r="D29" s="33">
        <v>280</v>
      </c>
      <c r="E29" s="33">
        <v>54375</v>
      </c>
      <c r="F29" s="29">
        <f t="shared" si="4"/>
        <v>56601</v>
      </c>
      <c r="G29" s="33">
        <f t="shared" si="13"/>
        <v>29294</v>
      </c>
      <c r="H29" s="33">
        <f t="shared" si="14"/>
        <v>11065</v>
      </c>
      <c r="I29" s="33">
        <f t="shared" si="15"/>
        <v>716225</v>
      </c>
      <c r="J29" s="33">
        <f t="shared" si="5"/>
        <v>756584</v>
      </c>
      <c r="K29" s="33">
        <v>2100</v>
      </c>
      <c r="L29" s="33">
        <v>529</v>
      </c>
      <c r="M29" s="232"/>
      <c r="N29" s="29">
        <f t="shared" si="6"/>
        <v>2629</v>
      </c>
      <c r="O29" s="29">
        <f t="shared" si="16"/>
        <v>9506</v>
      </c>
      <c r="P29" s="29">
        <f t="shared" si="17"/>
        <v>3952</v>
      </c>
      <c r="Q29" s="29">
        <f t="shared" si="18"/>
        <v>0</v>
      </c>
      <c r="R29" s="29">
        <f t="shared" si="7"/>
        <v>13458</v>
      </c>
      <c r="S29" s="33">
        <f t="shared" si="23"/>
        <v>4046</v>
      </c>
      <c r="T29" s="33">
        <f t="shared" si="24"/>
        <v>809</v>
      </c>
      <c r="U29" s="33">
        <f t="shared" si="19"/>
        <v>54375</v>
      </c>
      <c r="V29" s="29">
        <f t="shared" si="8"/>
        <v>59230</v>
      </c>
      <c r="W29" s="29">
        <f t="shared" si="20"/>
        <v>38800</v>
      </c>
      <c r="X29" s="29">
        <f t="shared" si="21"/>
        <v>15017</v>
      </c>
      <c r="Y29" s="29">
        <f t="shared" si="22"/>
        <v>716225</v>
      </c>
      <c r="Z29" s="29">
        <f t="shared" si="9"/>
        <v>770042</v>
      </c>
      <c r="AA29" s="164">
        <f>W29*(1/AC3)/'Feb 13(1)'!C28*100</f>
        <v>7.199317178164545</v>
      </c>
      <c r="AB29" s="164">
        <f>X29*(1/AC3)/'Feb 13(1)'!D28*100</f>
        <v>15.484476340726532</v>
      </c>
      <c r="AC29" s="164">
        <f>Y29*(1/AC3)/'Feb 13(1)'!E28*100</f>
        <v>21.808554854578677</v>
      </c>
      <c r="AD29" s="164">
        <f>Z29*(1/AC3)/'Feb 13(1)'!F28*100</f>
        <v>19.643587815313406</v>
      </c>
      <c r="AE29" s="29">
        <f>S29+'Feb 13(1)'!S28</f>
        <v>2331</v>
      </c>
      <c r="AF29" s="29">
        <f>T29+'Feb 13(1)'!T28</f>
        <v>552</v>
      </c>
      <c r="AG29" s="29">
        <f>U29+'Feb 13(1)'!U28</f>
        <v>66883</v>
      </c>
      <c r="AH29" s="29">
        <f t="shared" si="10"/>
        <v>69766</v>
      </c>
      <c r="AI29" s="29">
        <f>W29+'Feb 13(1)'!W28</f>
        <v>29340</v>
      </c>
      <c r="AJ29" s="29">
        <f>X29+'Feb 13(1)'!X28</f>
        <v>6165</v>
      </c>
      <c r="AK29" s="29">
        <f>Y29+'Feb 13(1)'!Y28</f>
        <v>868594</v>
      </c>
      <c r="AL29" s="29">
        <f t="shared" si="11"/>
        <v>904099</v>
      </c>
      <c r="AM29" s="8"/>
      <c r="AN29" s="8"/>
      <c r="AO29" s="8"/>
      <c r="AP29" s="8"/>
      <c r="AQ29" s="42">
        <v>27348</v>
      </c>
      <c r="AR29" s="42">
        <v>10785</v>
      </c>
      <c r="AS29" s="42">
        <v>661850</v>
      </c>
      <c r="AT29" s="258">
        <v>7406</v>
      </c>
      <c r="AU29" s="258">
        <v>3423</v>
      </c>
      <c r="AV29" s="258">
        <v>0</v>
      </c>
      <c r="AW29" s="42">
        <v>34754</v>
      </c>
      <c r="AX29" s="42">
        <v>14208</v>
      </c>
      <c r="AY29" s="42">
        <v>661850</v>
      </c>
      <c r="AZ29" s="4">
        <f t="shared" si="12"/>
        <v>0</v>
      </c>
      <c r="BA29" s="4">
        <f t="shared" si="12"/>
        <v>0</v>
      </c>
      <c r="BB29" s="4">
        <f t="shared" si="12"/>
        <v>0</v>
      </c>
    </row>
    <row r="30" spans="1:54" ht="25.5" customHeight="1">
      <c r="A30" s="61">
        <v>24</v>
      </c>
      <c r="B30" s="46" t="s">
        <v>40</v>
      </c>
      <c r="C30" s="233">
        <f>35712+5811</f>
        <v>41523</v>
      </c>
      <c r="D30" s="233">
        <v>4157</v>
      </c>
      <c r="E30" s="233">
        <f>8480+6998</f>
        <v>15478</v>
      </c>
      <c r="F30" s="32">
        <f t="shared" si="4"/>
        <v>61158</v>
      </c>
      <c r="G30" s="32">
        <f>C30+AQ30</f>
        <v>154723</v>
      </c>
      <c r="H30" s="32">
        <f t="shared" si="14"/>
        <v>56410</v>
      </c>
      <c r="I30" s="32">
        <f>E30+AS30</f>
        <v>92615</v>
      </c>
      <c r="J30" s="32">
        <f t="shared" si="5"/>
        <v>303748</v>
      </c>
      <c r="K30" s="233"/>
      <c r="L30" s="233"/>
      <c r="M30" s="233"/>
      <c r="N30" s="32">
        <f t="shared" si="6"/>
        <v>0</v>
      </c>
      <c r="O30" s="32">
        <f t="shared" si="16"/>
        <v>0</v>
      </c>
      <c r="P30" s="32">
        <f t="shared" si="17"/>
        <v>0</v>
      </c>
      <c r="Q30" s="32">
        <f t="shared" si="18"/>
        <v>0</v>
      </c>
      <c r="R30" s="32">
        <f t="shared" si="7"/>
        <v>0</v>
      </c>
      <c r="S30" s="34">
        <f t="shared" si="23"/>
        <v>41523</v>
      </c>
      <c r="T30" s="34">
        <f t="shared" si="24"/>
        <v>4157</v>
      </c>
      <c r="U30" s="34">
        <f t="shared" si="19"/>
        <v>15478</v>
      </c>
      <c r="V30" s="32">
        <f t="shared" si="8"/>
        <v>61158</v>
      </c>
      <c r="W30" s="32">
        <f t="shared" si="20"/>
        <v>154723</v>
      </c>
      <c r="X30" s="32">
        <f t="shared" si="21"/>
        <v>56410</v>
      </c>
      <c r="Y30" s="32">
        <f t="shared" si="22"/>
        <v>92615</v>
      </c>
      <c r="Z30" s="32">
        <f t="shared" si="9"/>
        <v>303748</v>
      </c>
      <c r="AA30" s="165">
        <f>W30*(1/AC3)/'Feb 13(1)'!C29*100</f>
        <v>23.567680368009384</v>
      </c>
      <c r="AB30" s="165">
        <f>X30*(1/AC3)/'Feb 13(1)'!D29*100</f>
        <v>76.65131194542958</v>
      </c>
      <c r="AC30" s="165">
        <f>Y30*(1/AC3)/'Feb 13(1)'!E29*100</f>
        <v>2.7797220007875603</v>
      </c>
      <c r="AD30" s="165">
        <f>Z30*(1/AC3)/'Feb 13(1)'!F29*100</f>
        <v>7.477967240009987</v>
      </c>
      <c r="AE30" s="32">
        <f>S30+'Feb 13(1)'!S29</f>
        <v>0</v>
      </c>
      <c r="AF30" s="32">
        <f>T30+'Feb 13(1)'!T29</f>
        <v>3127</v>
      </c>
      <c r="AG30" s="32">
        <f>U30+'Feb 13(1)'!U29</f>
        <v>11830</v>
      </c>
      <c r="AH30" s="32">
        <f t="shared" si="10"/>
        <v>14957</v>
      </c>
      <c r="AI30" s="32">
        <f>W30+'Feb 13(1)'!W29</f>
        <v>27062</v>
      </c>
      <c r="AJ30" s="32">
        <f>X30+'Feb 13(1)'!X29</f>
        <v>46655</v>
      </c>
      <c r="AK30" s="32">
        <f>Y30+'Feb 13(1)'!Y29</f>
        <v>104387</v>
      </c>
      <c r="AL30" s="32">
        <f t="shared" si="11"/>
        <v>178104</v>
      </c>
      <c r="AM30" s="8"/>
      <c r="AN30" s="8"/>
      <c r="AO30" s="8"/>
      <c r="AP30" s="8"/>
      <c r="AQ30" s="42">
        <v>113200</v>
      </c>
      <c r="AR30" s="42">
        <v>52253</v>
      </c>
      <c r="AS30" s="42">
        <v>77137</v>
      </c>
      <c r="AT30" s="258">
        <v>0</v>
      </c>
      <c r="AU30" s="258">
        <v>0</v>
      </c>
      <c r="AV30" s="258">
        <v>0</v>
      </c>
      <c r="AW30" s="42">
        <v>113200</v>
      </c>
      <c r="AX30" s="42">
        <v>52253</v>
      </c>
      <c r="AY30" s="42">
        <v>77137</v>
      </c>
      <c r="AZ30" s="4">
        <f t="shared" si="12"/>
        <v>0</v>
      </c>
      <c r="BA30" s="4">
        <f t="shared" si="12"/>
        <v>0</v>
      </c>
      <c r="BB30" s="4">
        <f t="shared" si="12"/>
        <v>0</v>
      </c>
    </row>
    <row r="31" spans="1:54" ht="25.5" customHeight="1">
      <c r="A31" s="59">
        <v>25</v>
      </c>
      <c r="B31" s="44" t="s">
        <v>9</v>
      </c>
      <c r="C31" s="35">
        <v>2309</v>
      </c>
      <c r="D31" s="35">
        <v>195</v>
      </c>
      <c r="E31" s="35">
        <v>12267</v>
      </c>
      <c r="F31" s="26">
        <f t="shared" si="4"/>
        <v>14771</v>
      </c>
      <c r="G31" s="26">
        <f t="shared" si="13"/>
        <v>61839</v>
      </c>
      <c r="H31" s="26">
        <f t="shared" si="14"/>
        <v>14781</v>
      </c>
      <c r="I31" s="26">
        <f>E31+AS31</f>
        <v>240977</v>
      </c>
      <c r="J31" s="26">
        <f t="shared" si="5"/>
        <v>317597</v>
      </c>
      <c r="K31" s="35">
        <v>363</v>
      </c>
      <c r="L31" s="231"/>
      <c r="M31" s="35">
        <v>0</v>
      </c>
      <c r="N31" s="26">
        <f t="shared" si="6"/>
        <v>363</v>
      </c>
      <c r="O31" s="26">
        <f t="shared" si="16"/>
        <v>3622</v>
      </c>
      <c r="P31" s="26">
        <f t="shared" si="17"/>
        <v>0</v>
      </c>
      <c r="Q31" s="26">
        <f t="shared" si="18"/>
        <v>0</v>
      </c>
      <c r="R31" s="26">
        <f t="shared" si="7"/>
        <v>3622</v>
      </c>
      <c r="S31" s="35">
        <f t="shared" si="23"/>
        <v>2672</v>
      </c>
      <c r="T31" s="35">
        <f t="shared" si="24"/>
        <v>195</v>
      </c>
      <c r="U31" s="35">
        <f t="shared" si="19"/>
        <v>12267</v>
      </c>
      <c r="V31" s="26">
        <f t="shared" si="8"/>
        <v>15134</v>
      </c>
      <c r="W31" s="26">
        <f t="shared" si="20"/>
        <v>65461</v>
      </c>
      <c r="X31" s="26">
        <f t="shared" si="21"/>
        <v>14781</v>
      </c>
      <c r="Y31" s="26">
        <f>U31+AY31</f>
        <v>240977</v>
      </c>
      <c r="Z31" s="26">
        <f t="shared" si="9"/>
        <v>321219</v>
      </c>
      <c r="AA31" s="163">
        <f>W31*(1/AC3)/'Feb 13(1)'!C30*100</f>
        <v>6.713101834332695</v>
      </c>
      <c r="AB31" s="163">
        <f>X31*(1/AC3)/'Feb 13(1)'!D30*100</f>
        <v>40.319148936170215</v>
      </c>
      <c r="AC31" s="163">
        <f>Y31*(1/AC3)/'Feb 13(1)'!E30*100</f>
        <v>10.084331470553035</v>
      </c>
      <c r="AD31" s="163">
        <f>Z31*(1/AC3)/'Feb 13(1)'!F30*100</f>
        <v>9.44372627631967</v>
      </c>
      <c r="AE31" s="26">
        <f>S31+'Feb 13(1)'!S30</f>
        <v>1423</v>
      </c>
      <c r="AF31" s="26">
        <f>T31+'Feb 13(1)'!T30</f>
        <v>111</v>
      </c>
      <c r="AG31" s="26">
        <f>U31+'Feb 13(1)'!U30</f>
        <v>7796</v>
      </c>
      <c r="AH31" s="26">
        <f t="shared" si="10"/>
        <v>9330</v>
      </c>
      <c r="AI31" s="26">
        <f>W31+'Feb 13(1)'!W30</f>
        <v>24257</v>
      </c>
      <c r="AJ31" s="26">
        <f>X31+'Feb 13(1)'!X30</f>
        <v>2561</v>
      </c>
      <c r="AK31" s="26">
        <f>Y31+'Feb 13(1)'!Y30</f>
        <v>118168</v>
      </c>
      <c r="AL31" s="26">
        <f t="shared" si="11"/>
        <v>144986</v>
      </c>
      <c r="AM31" s="8"/>
      <c r="AN31" s="8"/>
      <c r="AO31" s="8"/>
      <c r="AP31" s="8"/>
      <c r="AQ31" s="42">
        <v>59530</v>
      </c>
      <c r="AR31" s="42">
        <v>14586</v>
      </c>
      <c r="AS31" s="26">
        <v>228710</v>
      </c>
      <c r="AT31" s="258">
        <v>3259</v>
      </c>
      <c r="AU31" s="258">
        <v>0</v>
      </c>
      <c r="AV31" s="258">
        <v>0</v>
      </c>
      <c r="AW31" s="42">
        <v>62789</v>
      </c>
      <c r="AX31" s="42">
        <v>14586</v>
      </c>
      <c r="AY31" s="42">
        <v>228710</v>
      </c>
      <c r="AZ31" s="4">
        <f t="shared" si="12"/>
        <v>0</v>
      </c>
      <c r="BA31" s="4">
        <f t="shared" si="12"/>
        <v>0</v>
      </c>
      <c r="BB31" s="4">
        <f t="shared" si="12"/>
        <v>0</v>
      </c>
    </row>
    <row r="32" spans="1:54" ht="25.5" customHeight="1">
      <c r="A32" s="61">
        <v>26</v>
      </c>
      <c r="B32" s="46" t="s">
        <v>10</v>
      </c>
      <c r="C32" s="34">
        <v>4321</v>
      </c>
      <c r="D32" s="34">
        <v>990</v>
      </c>
      <c r="E32" s="34">
        <v>700</v>
      </c>
      <c r="F32" s="29">
        <f t="shared" si="4"/>
        <v>6011</v>
      </c>
      <c r="G32" s="29">
        <f t="shared" si="13"/>
        <v>57230</v>
      </c>
      <c r="H32" s="29">
        <f t="shared" si="14"/>
        <v>8963</v>
      </c>
      <c r="I32" s="29">
        <f t="shared" si="15"/>
        <v>8606</v>
      </c>
      <c r="J32" s="29">
        <f t="shared" si="5"/>
        <v>74799</v>
      </c>
      <c r="K32" s="34">
        <v>2537</v>
      </c>
      <c r="L32" s="34">
        <v>0</v>
      </c>
      <c r="M32" s="34">
        <f>16795+0</f>
        <v>16795</v>
      </c>
      <c r="N32" s="29">
        <f t="shared" si="6"/>
        <v>19332</v>
      </c>
      <c r="O32" s="29">
        <f t="shared" si="16"/>
        <v>23848</v>
      </c>
      <c r="P32" s="29">
        <f t="shared" si="17"/>
        <v>0</v>
      </c>
      <c r="Q32" s="29">
        <f t="shared" si="18"/>
        <v>117715</v>
      </c>
      <c r="R32" s="29">
        <f t="shared" si="7"/>
        <v>141563</v>
      </c>
      <c r="S32" s="33">
        <f t="shared" si="23"/>
        <v>6858</v>
      </c>
      <c r="T32" s="33">
        <f t="shared" si="24"/>
        <v>990</v>
      </c>
      <c r="U32" s="33">
        <f t="shared" si="19"/>
        <v>17495</v>
      </c>
      <c r="V32" s="29">
        <f t="shared" si="8"/>
        <v>25343</v>
      </c>
      <c r="W32" s="29">
        <f t="shared" si="20"/>
        <v>81078</v>
      </c>
      <c r="X32" s="29">
        <f t="shared" si="21"/>
        <v>8963</v>
      </c>
      <c r="Y32" s="29">
        <f>U32+AY32</f>
        <v>126321</v>
      </c>
      <c r="Z32" s="29">
        <f t="shared" si="9"/>
        <v>216362</v>
      </c>
      <c r="AA32" s="164">
        <f>W32*(1/AC3)/'Feb 13(1)'!C31*100</f>
        <v>9.792679465423427</v>
      </c>
      <c r="AB32" s="164">
        <f>X32*(1/AC3)/'Feb 13(1)'!D31*100</f>
        <v>40.77612483508485</v>
      </c>
      <c r="AC32" s="164">
        <f>Y32*(1/AC3)/'Feb 13(1)'!E31*100</f>
        <v>7.617812224103744</v>
      </c>
      <c r="AD32" s="164">
        <f>Z32*(1/AC3)/'Feb 13(1)'!F31*100</f>
        <v>8.626330558122735</v>
      </c>
      <c r="AE32" s="29">
        <f>S32+'Feb 13(1)'!S31</f>
        <v>5389</v>
      </c>
      <c r="AF32" s="29">
        <f>T32+'Feb 13(1)'!T31</f>
        <v>202</v>
      </c>
      <c r="AG32" s="29">
        <f>U32+'Feb 13(1)'!U31</f>
        <v>0</v>
      </c>
      <c r="AH32" s="29">
        <f t="shared" si="10"/>
        <v>5591</v>
      </c>
      <c r="AI32" s="29">
        <f>W32+'Feb 13(1)'!W31</f>
        <v>69571</v>
      </c>
      <c r="AJ32" s="29">
        <f>X32+'Feb 13(1)'!X31</f>
        <v>2415</v>
      </c>
      <c r="AK32" s="29">
        <f>Y32+'Feb 13(1)'!Y31</f>
        <v>24432</v>
      </c>
      <c r="AL32" s="29">
        <f t="shared" si="11"/>
        <v>96418</v>
      </c>
      <c r="AM32" s="8"/>
      <c r="AN32" s="8"/>
      <c r="AO32" s="8"/>
      <c r="AP32" s="8"/>
      <c r="AQ32" s="42">
        <v>52909</v>
      </c>
      <c r="AR32" s="42">
        <v>7973</v>
      </c>
      <c r="AS32" s="42">
        <v>7906</v>
      </c>
      <c r="AT32" s="258">
        <v>21311</v>
      </c>
      <c r="AU32" s="258">
        <v>0</v>
      </c>
      <c r="AV32" s="258">
        <v>100920</v>
      </c>
      <c r="AW32" s="42">
        <v>74220</v>
      </c>
      <c r="AX32" s="42">
        <v>7973</v>
      </c>
      <c r="AY32" s="42">
        <v>108826</v>
      </c>
      <c r="AZ32" s="4">
        <f>AW32-AT32-AQ32</f>
        <v>0</v>
      </c>
      <c r="BA32" s="4">
        <f>AX32-AU32-AR32</f>
        <v>0</v>
      </c>
      <c r="BB32" s="4">
        <f>AY32-AV32-AS32</f>
        <v>0</v>
      </c>
    </row>
    <row r="33" spans="1:52" ht="25.5" customHeight="1">
      <c r="A33" s="212"/>
      <c r="B33" s="212" t="s">
        <v>11</v>
      </c>
      <c r="C33" s="286">
        <f>SUM(C7:C32)</f>
        <v>142326</v>
      </c>
      <c r="D33" s="286">
        <f>SUM(D7:D32)</f>
        <v>61581</v>
      </c>
      <c r="E33" s="286">
        <f>SUM(E7:E32)</f>
        <v>359096</v>
      </c>
      <c r="F33" s="286">
        <f>SUM(F7:F32)</f>
        <v>563003</v>
      </c>
      <c r="G33" s="286">
        <f>SUM(G7:G32)</f>
        <v>1733268</v>
      </c>
      <c r="H33" s="286">
        <f aca="true" t="shared" si="26" ref="H33:R33">SUM(H7:H32)</f>
        <v>1260955</v>
      </c>
      <c r="I33" s="286">
        <f t="shared" si="26"/>
        <v>8708713</v>
      </c>
      <c r="J33" s="286">
        <f t="shared" si="26"/>
        <v>11702936</v>
      </c>
      <c r="K33" s="286">
        <f t="shared" si="26"/>
        <v>132319</v>
      </c>
      <c r="L33" s="286">
        <f t="shared" si="26"/>
        <v>22462</v>
      </c>
      <c r="M33" s="286">
        <f t="shared" si="26"/>
        <v>96172</v>
      </c>
      <c r="N33" s="286">
        <f t="shared" si="26"/>
        <v>250953</v>
      </c>
      <c r="O33" s="286">
        <f t="shared" si="26"/>
        <v>1411652</v>
      </c>
      <c r="P33" s="286">
        <f t="shared" si="26"/>
        <v>465858</v>
      </c>
      <c r="Q33" s="286">
        <f t="shared" si="26"/>
        <v>1498760</v>
      </c>
      <c r="R33" s="286">
        <f t="shared" si="26"/>
        <v>3376270</v>
      </c>
      <c r="S33" s="286">
        <f>SUM(S7:S32)</f>
        <v>274645</v>
      </c>
      <c r="T33" s="286">
        <f>SUM(T7:T32)</f>
        <v>84043</v>
      </c>
      <c r="U33" s="286">
        <f>SUM(U7:U32)</f>
        <v>455268</v>
      </c>
      <c r="V33" s="286">
        <f>SUM(V7:V32)</f>
        <v>813956</v>
      </c>
      <c r="W33" s="286">
        <f aca="true" t="shared" si="27" ref="W33:AE33">SUM(W7:W32)</f>
        <v>3144920</v>
      </c>
      <c r="X33" s="286">
        <f t="shared" si="27"/>
        <v>1726813</v>
      </c>
      <c r="Y33" s="334">
        <f t="shared" si="27"/>
        <v>10207473</v>
      </c>
      <c r="Z33" s="286">
        <f t="shared" si="27"/>
        <v>15079206</v>
      </c>
      <c r="AA33" s="289">
        <f>W33*(1/AC3)/'Feb 13(1)'!C32*100</f>
        <v>13.997496498533987</v>
      </c>
      <c r="AB33" s="289">
        <f>X33*(1/AC3)/'Feb 13(1)'!D32*100</f>
        <v>43.12812413053827</v>
      </c>
      <c r="AC33" s="289">
        <f>Y33*(1/AC3)/'Feb 13(1)'!E32*100</f>
        <v>10.800521651497718</v>
      </c>
      <c r="AD33" s="289">
        <f>Z33*(1/AC3)/'Feb 13(1)'!F32*100</f>
        <v>12.464139740613216</v>
      </c>
      <c r="AE33" s="286">
        <f t="shared" si="27"/>
        <v>106142</v>
      </c>
      <c r="AF33" s="286">
        <f aca="true" t="shared" si="28" ref="AF33:AL33">SUM(AF7:AF32)</f>
        <v>25445</v>
      </c>
      <c r="AG33" s="286">
        <f t="shared" si="28"/>
        <v>943540</v>
      </c>
      <c r="AH33" s="286">
        <f t="shared" si="28"/>
        <v>1075127</v>
      </c>
      <c r="AI33" s="286">
        <f t="shared" si="28"/>
        <v>1268292</v>
      </c>
      <c r="AJ33" s="286">
        <f t="shared" si="28"/>
        <v>444061</v>
      </c>
      <c r="AK33" s="286">
        <f>SUM(AK7:AK32)</f>
        <v>13647804</v>
      </c>
      <c r="AL33" s="286">
        <f t="shared" si="28"/>
        <v>15360157</v>
      </c>
      <c r="AM33" s="8"/>
      <c r="AN33" s="8"/>
      <c r="AO33" s="8"/>
      <c r="AP33" s="8"/>
      <c r="AQ33" s="324">
        <v>1590942</v>
      </c>
      <c r="AR33" s="286">
        <v>1199374</v>
      </c>
      <c r="AS33" s="324">
        <v>8349617</v>
      </c>
      <c r="AT33" s="324">
        <v>1279333</v>
      </c>
      <c r="AU33" s="324">
        <v>443396</v>
      </c>
      <c r="AV33" s="286">
        <v>1402588</v>
      </c>
      <c r="AW33" s="324">
        <v>2870275</v>
      </c>
      <c r="AX33" s="286">
        <v>1642770</v>
      </c>
      <c r="AY33" s="324">
        <v>9752205</v>
      </c>
      <c r="AZ33" s="290"/>
    </row>
    <row r="34" spans="1:52" s="3" customFormat="1" ht="25.5" customHeight="1">
      <c r="A34" s="472" t="s">
        <v>148</v>
      </c>
      <c r="B34" s="472"/>
      <c r="C34" s="285">
        <f>C33/1000000</f>
        <v>0.142326</v>
      </c>
      <c r="D34" s="285">
        <f aca="true" t="shared" si="29" ref="D34:AL34">D33/1000000</f>
        <v>0.061581</v>
      </c>
      <c r="E34" s="285">
        <f t="shared" si="29"/>
        <v>0.359096</v>
      </c>
      <c r="F34" s="285">
        <f t="shared" si="29"/>
        <v>0.563003</v>
      </c>
      <c r="G34" s="285">
        <f t="shared" si="29"/>
        <v>1.733268</v>
      </c>
      <c r="H34" s="285">
        <f t="shared" si="29"/>
        <v>1.260955</v>
      </c>
      <c r="I34" s="285">
        <f t="shared" si="29"/>
        <v>8.708713</v>
      </c>
      <c r="J34" s="285">
        <f t="shared" si="29"/>
        <v>11.702936</v>
      </c>
      <c r="K34" s="285">
        <f t="shared" si="29"/>
        <v>0.132319</v>
      </c>
      <c r="L34" s="285">
        <f t="shared" si="29"/>
        <v>0.022462</v>
      </c>
      <c r="M34" s="285">
        <f t="shared" si="29"/>
        <v>0.096172</v>
      </c>
      <c r="N34" s="285">
        <f t="shared" si="29"/>
        <v>0.250953</v>
      </c>
      <c r="O34" s="285">
        <f t="shared" si="29"/>
        <v>1.411652</v>
      </c>
      <c r="P34" s="285">
        <f t="shared" si="29"/>
        <v>0.465858</v>
      </c>
      <c r="Q34" s="285">
        <f t="shared" si="29"/>
        <v>1.49876</v>
      </c>
      <c r="R34" s="285">
        <f t="shared" si="29"/>
        <v>3.37627</v>
      </c>
      <c r="S34" s="285">
        <f t="shared" si="29"/>
        <v>0.274645</v>
      </c>
      <c r="T34" s="285">
        <f t="shared" si="29"/>
        <v>0.084043</v>
      </c>
      <c r="U34" s="285">
        <f t="shared" si="29"/>
        <v>0.455268</v>
      </c>
      <c r="V34" s="285">
        <f t="shared" si="29"/>
        <v>0.813956</v>
      </c>
      <c r="W34" s="285">
        <f t="shared" si="29"/>
        <v>3.14492</v>
      </c>
      <c r="X34" s="285">
        <f t="shared" si="29"/>
        <v>1.726813</v>
      </c>
      <c r="Y34" s="285">
        <f t="shared" si="29"/>
        <v>10.207473</v>
      </c>
      <c r="Z34" s="285">
        <f t="shared" si="29"/>
        <v>15.079206</v>
      </c>
      <c r="AA34" s="285">
        <f t="shared" si="29"/>
        <v>1.3997496498533987E-05</v>
      </c>
      <c r="AB34" s="285">
        <f t="shared" si="29"/>
        <v>4.312812413053827E-05</v>
      </c>
      <c r="AC34" s="285">
        <f t="shared" si="29"/>
        <v>1.0800521651497717E-05</v>
      </c>
      <c r="AD34" s="285">
        <f t="shared" si="29"/>
        <v>1.2464139740613217E-05</v>
      </c>
      <c r="AE34" s="285">
        <f t="shared" si="29"/>
        <v>0.106142</v>
      </c>
      <c r="AF34" s="285">
        <f t="shared" si="29"/>
        <v>0.025445</v>
      </c>
      <c r="AG34" s="285">
        <f t="shared" si="29"/>
        <v>0.94354</v>
      </c>
      <c r="AH34" s="285">
        <f t="shared" si="29"/>
        <v>1.075127</v>
      </c>
      <c r="AI34" s="285">
        <f t="shared" si="29"/>
        <v>1.268292</v>
      </c>
      <c r="AJ34" s="285">
        <f t="shared" si="29"/>
        <v>0.444061</v>
      </c>
      <c r="AK34" s="285">
        <f t="shared" si="29"/>
        <v>13.647804</v>
      </c>
      <c r="AL34" s="285">
        <f t="shared" si="29"/>
        <v>15.360157</v>
      </c>
      <c r="AM34" s="6"/>
      <c r="AN34" s="6"/>
      <c r="AO34" s="6"/>
      <c r="AP34" s="6"/>
      <c r="AQ34" s="288"/>
      <c r="AR34" s="288"/>
      <c r="AS34" s="288"/>
      <c r="AT34" s="288"/>
      <c r="AU34" s="288"/>
      <c r="AV34" s="288"/>
      <c r="AW34" s="288"/>
      <c r="AX34" s="288"/>
      <c r="AY34" s="288"/>
      <c r="AZ34" s="173"/>
    </row>
    <row r="35" spans="1:45" s="3" customFormat="1" ht="19.5" customHeight="1">
      <c r="A35" s="14"/>
      <c r="B35" s="17" t="s">
        <v>29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6"/>
      <c r="AN35" s="6"/>
      <c r="AO35" s="6"/>
      <c r="AP35" s="6"/>
      <c r="AQ35" s="411">
        <f>AW33-AT33-AQ33</f>
        <v>0</v>
      </c>
      <c r="AR35" s="173">
        <f>AX33-AU33-AR33</f>
        <v>0</v>
      </c>
      <c r="AS35" s="3">
        <f>AY33-AV33-AS33</f>
        <v>0</v>
      </c>
    </row>
    <row r="36" spans="1:38" ht="18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7"/>
      <c r="Y36" s="194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1:38" ht="18" customHeight="1">
      <c r="A37" s="18"/>
      <c r="B37" s="18" t="s">
        <v>30</v>
      </c>
      <c r="C37" s="18"/>
      <c r="D37" s="18"/>
      <c r="E37" s="18"/>
      <c r="F37" s="18"/>
      <c r="G37" s="168"/>
      <c r="H37" s="168"/>
      <c r="I37" s="168"/>
      <c r="J37" s="426"/>
      <c r="K37" s="18"/>
      <c r="L37" s="18"/>
      <c r="M37" s="18"/>
      <c r="N37" s="18"/>
      <c r="O37" s="168"/>
      <c r="P37" s="168"/>
      <c r="Q37" s="168"/>
      <c r="R37" s="18"/>
      <c r="S37" s="18"/>
      <c r="T37" s="18"/>
      <c r="U37" s="18"/>
      <c r="V37" s="18"/>
      <c r="W37" s="155"/>
      <c r="X37" s="155"/>
      <c r="Y37" s="22"/>
      <c r="Z37" s="155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</row>
    <row r="38" spans="1:38" ht="18" customHeight="1">
      <c r="A38" s="18"/>
      <c r="B38" s="18" t="s">
        <v>15</v>
      </c>
      <c r="C38" s="18"/>
      <c r="D38" s="18"/>
      <c r="E38" s="18"/>
      <c r="F38" s="18"/>
      <c r="G38" s="18"/>
      <c r="H38" s="168"/>
      <c r="I38" s="16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</row>
    <row r="39" spans="1:38" ht="18" customHeight="1">
      <c r="A39" s="19"/>
      <c r="B39" s="19" t="s">
        <v>58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ht="18" customHeight="1">
      <c r="A40" s="19"/>
      <c r="B40" s="19" t="s">
        <v>59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</row>
    <row r="41" spans="1:38" ht="18" customHeight="1">
      <c r="A41" s="18"/>
      <c r="B41" s="18" t="s">
        <v>80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23"/>
      <c r="X41" s="156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</row>
    <row r="42" spans="1:26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8"/>
      <c r="Z42" s="136"/>
    </row>
    <row r="43" spans="1:38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1:38" ht="15.7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.7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.75">
      <c r="A46" s="466"/>
      <c r="B46" s="46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ht="15" customHeight="1"/>
    <row r="48" spans="23:25" ht="15" customHeight="1">
      <c r="W48" s="50"/>
      <c r="X48" s="50"/>
      <c r="Y48" s="50"/>
    </row>
    <row r="49" spans="23:25" ht="15" customHeight="1">
      <c r="W49" s="50"/>
      <c r="X49" s="50"/>
      <c r="Y49" s="50"/>
    </row>
    <row r="50" spans="23:25" ht="15" customHeight="1">
      <c r="W50" s="50"/>
      <c r="X50" s="50"/>
      <c r="Y50" s="50"/>
    </row>
    <row r="51" spans="23:25" ht="15" customHeight="1">
      <c r="W51" s="50"/>
      <c r="X51" s="50"/>
      <c r="Y51" s="50"/>
    </row>
    <row r="52" spans="2:38" ht="18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51"/>
      <c r="X52" s="51"/>
      <c r="Y52" s="50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2:38" ht="18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51"/>
      <c r="X53" s="51"/>
      <c r="Y53" s="50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2:38" ht="18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51"/>
      <c r="X54" s="51"/>
      <c r="Y54" s="50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2:38" ht="18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20"/>
      <c r="X55" s="120"/>
      <c r="Y55" s="5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2:38" ht="18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20"/>
      <c r="X56" s="120"/>
      <c r="Y56" s="5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2:38" ht="18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9"/>
      <c r="X57" s="119"/>
      <c r="Y57" s="5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2:38" ht="18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51"/>
      <c r="X58" s="51"/>
      <c r="Y58" s="5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23:25" ht="15">
      <c r="W59" s="50"/>
      <c r="X59" s="50"/>
      <c r="Y59" s="50"/>
    </row>
    <row r="60" spans="23:25" ht="15">
      <c r="W60" s="50"/>
      <c r="X60" s="50"/>
      <c r="Y60" s="50"/>
    </row>
    <row r="61" spans="23:25" ht="15">
      <c r="W61" s="50"/>
      <c r="X61" s="50"/>
      <c r="Y61" s="50"/>
    </row>
    <row r="62" spans="23:25" ht="15">
      <c r="W62" s="50"/>
      <c r="X62" s="50"/>
      <c r="Y62" s="50"/>
    </row>
    <row r="63" spans="23:25" ht="15">
      <c r="W63" s="50"/>
      <c r="X63" s="50"/>
      <c r="Y63" s="50"/>
    </row>
    <row r="64" spans="23:25" ht="15">
      <c r="W64" s="50"/>
      <c r="X64" s="50"/>
      <c r="Y64" s="50"/>
    </row>
    <row r="65" spans="23:25" ht="15">
      <c r="W65" s="50"/>
      <c r="X65" s="50"/>
      <c r="Y65" s="50"/>
    </row>
    <row r="66" spans="23:25" ht="15">
      <c r="W66" s="50"/>
      <c r="X66" s="50"/>
      <c r="Y66" s="50"/>
    </row>
    <row r="67" spans="23:25" ht="15">
      <c r="W67" s="50"/>
      <c r="X67" s="50"/>
      <c r="Y67" s="50"/>
    </row>
    <row r="68" spans="23:25" ht="15">
      <c r="W68" s="50"/>
      <c r="X68" s="50"/>
      <c r="Y68" s="50"/>
    </row>
    <row r="69" spans="23:25" ht="15">
      <c r="W69" s="50"/>
      <c r="X69" s="50"/>
      <c r="Y69" s="50"/>
    </row>
    <row r="70" spans="23:25" ht="15">
      <c r="W70" s="50"/>
      <c r="X70" s="50"/>
      <c r="Y70" s="50"/>
    </row>
    <row r="71" spans="23:25" ht="15">
      <c r="W71" s="50"/>
      <c r="X71" s="50"/>
      <c r="Y71" s="50"/>
    </row>
    <row r="72" spans="23:25" ht="15">
      <c r="W72" s="50"/>
      <c r="X72" s="50"/>
      <c r="Y72" s="50"/>
    </row>
    <row r="73" spans="23:25" ht="15">
      <c r="W73" s="50"/>
      <c r="X73" s="50"/>
      <c r="Y73" s="50"/>
    </row>
  </sheetData>
  <sheetProtection/>
  <mergeCells count="20">
    <mergeCell ref="AW4:AY5"/>
    <mergeCell ref="S4:Z4"/>
    <mergeCell ref="AA4:AD5"/>
    <mergeCell ref="A46:B46"/>
    <mergeCell ref="AQ4:AS5"/>
    <mergeCell ref="K4:R4"/>
    <mergeCell ref="S5:V5"/>
    <mergeCell ref="W5:Z5"/>
    <mergeCell ref="AE5:AH5"/>
    <mergeCell ref="AI5:AL5"/>
    <mergeCell ref="A34:B34"/>
    <mergeCell ref="AT4:AV5"/>
    <mergeCell ref="AE4:AL4"/>
    <mergeCell ref="K5:N5"/>
    <mergeCell ref="O5:R5"/>
    <mergeCell ref="A4:A6"/>
    <mergeCell ref="B4:B6"/>
    <mergeCell ref="C5:F5"/>
    <mergeCell ref="G5:J5"/>
    <mergeCell ref="C4:J4"/>
  </mergeCells>
  <conditionalFormatting sqref="S7:S32 T22:U22">
    <cfRule type="expression" priority="59" dxfId="3" stopIfTrue="1">
      <formula>LARGE((#REF!),MIN(5,COUNT(#REF!)))&lt;=S7</formula>
    </cfRule>
  </conditionalFormatting>
  <conditionalFormatting sqref="W7:Y32">
    <cfRule type="top10" priority="20" dxfId="3" stopIfTrue="1" rank="5"/>
    <cfRule type="top10" priority="21" dxfId="1" stopIfTrue="1" rank="10"/>
    <cfRule type="top10" priority="22" dxfId="0" stopIfTrue="1" rank="5" bottom="1"/>
    <cfRule type="top10" priority="58" dxfId="0" stopIfTrue="1" rank="5"/>
  </conditionalFormatting>
  <conditionalFormatting sqref="X7:X32">
    <cfRule type="top10" priority="18" dxfId="0" stopIfTrue="1" rank="5" bottom="1"/>
    <cfRule type="top10" priority="19" dxfId="3" stopIfTrue="1" rank="5"/>
    <cfRule type="top10" priority="57" dxfId="0" stopIfTrue="1" rank="5"/>
  </conditionalFormatting>
  <conditionalFormatting sqref="Y7:Y32">
    <cfRule type="top10" priority="16" dxfId="0" stopIfTrue="1" rank="5" bottom="1"/>
    <cfRule type="top10" priority="17" dxfId="3" stopIfTrue="1" rank="5"/>
    <cfRule type="top10" priority="56" dxfId="0" stopIfTrue="1" rank="5"/>
  </conditionalFormatting>
  <conditionalFormatting sqref="AA7:AA32">
    <cfRule type="top10" priority="14" dxfId="0" stopIfTrue="1" rank="5" bottom="1"/>
    <cfRule type="top10" priority="15" dxfId="3" stopIfTrue="1" rank="5"/>
  </conditionalFormatting>
  <conditionalFormatting sqref="AB7:AB32">
    <cfRule type="top10" priority="11" dxfId="0" stopIfTrue="1" rank="5" bottom="1"/>
    <cfRule type="top10" priority="12" dxfId="3" stopIfTrue="1" rank="5"/>
    <cfRule type="top10" priority="13" dxfId="1" stopIfTrue="1" rank="5"/>
  </conditionalFormatting>
  <conditionalFormatting sqref="AC7:AC32">
    <cfRule type="top10" priority="9" dxfId="0" stopIfTrue="1" rank="5" bottom="1"/>
    <cfRule type="top10" priority="10" dxfId="3" stopIfTrue="1" rank="5"/>
  </conditionalFormatting>
  <conditionalFormatting sqref="AI7:AI32">
    <cfRule type="top10" priority="7" dxfId="3" stopIfTrue="1" rank="5" bottom="1"/>
    <cfRule type="top10" priority="8" dxfId="0" stopIfTrue="1" rank="5"/>
  </conditionalFormatting>
  <conditionalFormatting sqref="AJ7:AJ32">
    <cfRule type="top10" priority="5" dxfId="3" stopIfTrue="1" rank="5" bottom="1"/>
    <cfRule type="top10" priority="6" dxfId="0" stopIfTrue="1" rank="5"/>
  </conditionalFormatting>
  <conditionalFormatting sqref="AK7:AK32">
    <cfRule type="top10" priority="3" dxfId="3" stopIfTrue="1" rank="5" bottom="1"/>
    <cfRule type="top10" priority="4" dxfId="0" stopIfTrue="1" rank="5"/>
  </conditionalFormatting>
  <conditionalFormatting sqref="AD7:AD32">
    <cfRule type="top10" priority="1" dxfId="0" stopIfTrue="1" rank="5" bottom="1"/>
    <cfRule type="top10" priority="2" dxfId="3" stopIfTrue="1" rank="5"/>
  </conditionalFormatting>
  <printOptions/>
  <pageMargins left="0.15748031496062992" right="0.15748031496062992" top="0.31496062992125984" bottom="0.31496062992125984" header="0.2362204724409449" footer="0.2362204724409449"/>
  <pageSetup horizontalDpi="600" verticalDpi="600" orientation="landscape" scale="60" r:id="rId1"/>
  <rowBreaks count="1" manualBreakCount="1">
    <brk id="41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72"/>
  <sheetViews>
    <sheetView zoomScalePageLayoutView="0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16" sqref="O16:Q16"/>
    </sheetView>
  </sheetViews>
  <sheetFormatPr defaultColWidth="7.8515625" defaultRowHeight="12.75"/>
  <cols>
    <col min="1" max="1" width="4.421875" style="70" customWidth="1"/>
    <col min="2" max="2" width="12.28125" style="70" customWidth="1"/>
    <col min="3" max="3" width="9.8515625" style="70" customWidth="1"/>
    <col min="4" max="4" width="8.8515625" style="70" customWidth="1"/>
    <col min="5" max="5" width="7.8515625" style="70" customWidth="1"/>
    <col min="6" max="7" width="9.57421875" style="70" customWidth="1"/>
    <col min="8" max="8" width="8.7109375" style="70" customWidth="1"/>
    <col min="9" max="9" width="7.140625" style="70" customWidth="1"/>
    <col min="10" max="10" width="9.140625" style="70" customWidth="1"/>
    <col min="11" max="11" width="10.421875" style="70" hidden="1" customWidth="1"/>
    <col min="12" max="12" width="8.28125" style="70" hidden="1" customWidth="1"/>
    <col min="13" max="13" width="8.140625" style="70" hidden="1" customWidth="1"/>
    <col min="14" max="14" width="0.13671875" style="70" hidden="1" customWidth="1"/>
    <col min="15" max="15" width="9.7109375" style="70" customWidth="1"/>
    <col min="16" max="16" width="7.57421875" style="70" customWidth="1"/>
    <col min="17" max="17" width="8.140625" style="70" customWidth="1"/>
    <col min="18" max="18" width="9.8515625" style="70" customWidth="1"/>
    <col min="19" max="19" width="9.140625" style="70" customWidth="1"/>
    <col min="20" max="20" width="8.00390625" style="70" customWidth="1"/>
    <col min="21" max="21" width="8.28125" style="70" customWidth="1"/>
    <col min="22" max="22" width="10.57421875" style="70" bestFit="1" customWidth="1"/>
    <col min="23" max="23" width="9.00390625" style="70" customWidth="1"/>
    <col min="24" max="24" width="8.8515625" style="70" customWidth="1"/>
    <col min="25" max="25" width="8.28125" style="70" customWidth="1"/>
    <col min="26" max="27" width="9.7109375" style="70" customWidth="1"/>
    <col min="28" max="29" width="8.28125" style="70" customWidth="1"/>
    <col min="30" max="30" width="9.28125" style="70" customWidth="1"/>
    <col min="31" max="33" width="7.8515625" style="70" customWidth="1"/>
    <col min="34" max="34" width="13.421875" style="70" bestFit="1" customWidth="1"/>
    <col min="35" max="35" width="11.28125" style="70" bestFit="1" customWidth="1"/>
    <col min="36" max="36" width="13.00390625" style="70" bestFit="1" customWidth="1"/>
    <col min="37" max="49" width="7.8515625" style="70" customWidth="1"/>
    <col min="50" max="50" width="13.7109375" style="70" customWidth="1"/>
    <col min="51" max="16384" width="7.8515625" style="70" customWidth="1"/>
  </cols>
  <sheetData>
    <row r="1" spans="1:26" ht="13.5" customHeight="1">
      <c r="A1" s="76"/>
      <c r="B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3"/>
      <c r="T1" s="73"/>
      <c r="U1" s="73"/>
      <c r="V1" s="73"/>
      <c r="W1" s="73"/>
      <c r="X1" s="73"/>
      <c r="Y1" s="73"/>
      <c r="Z1" s="73"/>
    </row>
    <row r="2" spans="1:25" ht="16.5" customHeight="1">
      <c r="A2" s="77" t="s">
        <v>210</v>
      </c>
      <c r="B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R2" s="1" t="str">
        <f>'Feb 13(2)'!AE1</f>
        <v>No.1-2(1)/2012-CP&amp;M-LTP    </v>
      </c>
      <c r="S2" s="79"/>
      <c r="T2" s="79"/>
      <c r="U2" s="79"/>
      <c r="V2" s="421"/>
      <c r="W2" s="79"/>
      <c r="X2" s="380"/>
      <c r="Y2" s="71" t="s">
        <v>199</v>
      </c>
    </row>
    <row r="3" spans="1:26" ht="9" customHeight="1">
      <c r="A3" s="71"/>
      <c r="B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/>
      <c r="T3" s="72"/>
      <c r="U3" s="72"/>
      <c r="V3" s="72"/>
      <c r="W3" s="72"/>
      <c r="X3" s="72"/>
      <c r="Y3" s="72"/>
      <c r="Z3" s="73"/>
    </row>
    <row r="4" spans="1:36" ht="36" customHeight="1">
      <c r="A4" s="495" t="s">
        <v>18</v>
      </c>
      <c r="B4" s="507" t="s">
        <v>17</v>
      </c>
      <c r="C4" s="493" t="s">
        <v>180</v>
      </c>
      <c r="D4" s="494"/>
      <c r="E4" s="494"/>
      <c r="F4" s="501"/>
      <c r="G4" s="492" t="s">
        <v>211</v>
      </c>
      <c r="H4" s="492"/>
      <c r="I4" s="492"/>
      <c r="J4" s="492"/>
      <c r="K4" s="493" t="s">
        <v>184</v>
      </c>
      <c r="L4" s="494"/>
      <c r="M4" s="494"/>
      <c r="N4" s="494"/>
      <c r="O4" s="493" t="s">
        <v>181</v>
      </c>
      <c r="P4" s="494"/>
      <c r="Q4" s="494"/>
      <c r="R4" s="501"/>
      <c r="S4" s="493" t="s">
        <v>182</v>
      </c>
      <c r="T4" s="494"/>
      <c r="U4" s="494"/>
      <c r="V4" s="494"/>
      <c r="W4" s="494"/>
      <c r="X4" s="494"/>
      <c r="Y4" s="494"/>
      <c r="Z4" s="501"/>
      <c r="AE4" s="121"/>
      <c r="AF4" s="121"/>
      <c r="AG4" s="121"/>
      <c r="AH4" s="497"/>
      <c r="AI4" s="497"/>
      <c r="AJ4" s="497"/>
    </row>
    <row r="5" spans="1:36" ht="18" customHeight="1">
      <c r="A5" s="506"/>
      <c r="B5" s="508"/>
      <c r="C5" s="495" t="s">
        <v>26</v>
      </c>
      <c r="D5" s="495" t="s">
        <v>21</v>
      </c>
      <c r="E5" s="495" t="s">
        <v>1</v>
      </c>
      <c r="F5" s="495" t="s">
        <v>2</v>
      </c>
      <c r="G5" s="492" t="s">
        <v>26</v>
      </c>
      <c r="H5" s="492" t="s">
        <v>21</v>
      </c>
      <c r="I5" s="492" t="s">
        <v>1</v>
      </c>
      <c r="J5" s="492" t="s">
        <v>2</v>
      </c>
      <c r="K5" s="495" t="s">
        <v>26</v>
      </c>
      <c r="L5" s="495" t="s">
        <v>21</v>
      </c>
      <c r="M5" s="495" t="s">
        <v>1</v>
      </c>
      <c r="N5" s="495" t="s">
        <v>2</v>
      </c>
      <c r="O5" s="495" t="s">
        <v>26</v>
      </c>
      <c r="P5" s="495" t="s">
        <v>23</v>
      </c>
      <c r="Q5" s="495" t="s">
        <v>1</v>
      </c>
      <c r="R5" s="495" t="s">
        <v>2</v>
      </c>
      <c r="S5" s="502" t="s">
        <v>14</v>
      </c>
      <c r="T5" s="503"/>
      <c r="U5" s="503"/>
      <c r="V5" s="504"/>
      <c r="W5" s="498" t="s">
        <v>183</v>
      </c>
      <c r="X5" s="499"/>
      <c r="Y5" s="499"/>
      <c r="Z5" s="500"/>
      <c r="AE5" s="121"/>
      <c r="AF5" s="121"/>
      <c r="AG5" s="121"/>
      <c r="AH5" s="497"/>
      <c r="AI5" s="497"/>
      <c r="AJ5" s="497"/>
    </row>
    <row r="6" spans="1:36" ht="29.25" customHeight="1">
      <c r="A6" s="496"/>
      <c r="B6" s="509"/>
      <c r="C6" s="496"/>
      <c r="D6" s="496"/>
      <c r="E6" s="496"/>
      <c r="F6" s="496"/>
      <c r="G6" s="492"/>
      <c r="H6" s="492"/>
      <c r="I6" s="492"/>
      <c r="J6" s="492"/>
      <c r="K6" s="496"/>
      <c r="L6" s="496"/>
      <c r="M6" s="496"/>
      <c r="N6" s="496"/>
      <c r="O6" s="496"/>
      <c r="P6" s="496"/>
      <c r="Q6" s="496"/>
      <c r="R6" s="496"/>
      <c r="S6" s="80" t="s">
        <v>26</v>
      </c>
      <c r="T6" s="80" t="s">
        <v>23</v>
      </c>
      <c r="U6" s="80" t="s">
        <v>1</v>
      </c>
      <c r="V6" s="80" t="s">
        <v>2</v>
      </c>
      <c r="W6" s="80" t="s">
        <v>26</v>
      </c>
      <c r="X6" s="80" t="s">
        <v>23</v>
      </c>
      <c r="Y6" s="80" t="s">
        <v>1</v>
      </c>
      <c r="Z6" s="80" t="s">
        <v>2</v>
      </c>
      <c r="AE6" s="121"/>
      <c r="AF6" s="121"/>
      <c r="AG6" s="121"/>
      <c r="AH6" s="121"/>
      <c r="AI6" s="121"/>
      <c r="AJ6" s="121"/>
    </row>
    <row r="7" spans="1:36" ht="18" customHeight="1">
      <c r="A7" s="81">
        <v>1</v>
      </c>
      <c r="B7" s="82" t="s">
        <v>39</v>
      </c>
      <c r="C7" s="337">
        <v>17</v>
      </c>
      <c r="D7" s="337">
        <v>0</v>
      </c>
      <c r="E7" s="337">
        <v>0</v>
      </c>
      <c r="F7" s="83">
        <f aca="true" t="shared" si="0" ref="F7:F32">C7+D7+E7</f>
        <v>17</v>
      </c>
      <c r="G7" s="240">
        <v>0</v>
      </c>
      <c r="H7" s="240">
        <v>0</v>
      </c>
      <c r="I7" s="240">
        <v>0</v>
      </c>
      <c r="J7" s="240">
        <f>SUM(G7:I7)</f>
        <v>0</v>
      </c>
      <c r="K7" s="123">
        <v>0</v>
      </c>
      <c r="L7" s="123">
        <v>0</v>
      </c>
      <c r="M7" s="123">
        <v>0</v>
      </c>
      <c r="N7" s="123">
        <f aca="true" t="shared" si="1" ref="N7:N32">K7+L7+M7</f>
        <v>0</v>
      </c>
      <c r="O7" s="123">
        <v>0</v>
      </c>
      <c r="P7" s="123">
        <v>0</v>
      </c>
      <c r="Q7" s="123">
        <v>0</v>
      </c>
      <c r="R7" s="123">
        <f>O7+P7+Q7</f>
        <v>0</v>
      </c>
      <c r="S7" s="118">
        <f>K7-O7</f>
        <v>0</v>
      </c>
      <c r="T7" s="118">
        <f>L7-P7</f>
        <v>0</v>
      </c>
      <c r="U7" s="118">
        <f>M7-Q7</f>
        <v>0</v>
      </c>
      <c r="V7" s="118">
        <f>S7+T7+U7</f>
        <v>0</v>
      </c>
      <c r="W7" s="118">
        <f aca="true" t="shared" si="2" ref="W7:W32">C7-O7</f>
        <v>17</v>
      </c>
      <c r="X7" s="118">
        <f aca="true" t="shared" si="3" ref="X7:X32">D7-P7</f>
        <v>0</v>
      </c>
      <c r="Y7" s="118">
        <f aca="true" t="shared" si="4" ref="Y7:Y32">E7-Q7</f>
        <v>0</v>
      </c>
      <c r="Z7" s="118">
        <f>W7+X7+Y7</f>
        <v>17</v>
      </c>
      <c r="AE7" s="84"/>
      <c r="AF7" s="84"/>
      <c r="AG7" s="84"/>
      <c r="AH7" s="84"/>
      <c r="AI7" s="84"/>
      <c r="AJ7" s="84"/>
    </row>
    <row r="8" spans="1:36" ht="18" customHeight="1">
      <c r="A8" s="85">
        <v>2</v>
      </c>
      <c r="B8" s="86" t="s">
        <v>65</v>
      </c>
      <c r="C8" s="338">
        <v>7160</v>
      </c>
      <c r="D8" s="338">
        <v>0</v>
      </c>
      <c r="E8" s="318">
        <v>0</v>
      </c>
      <c r="F8" s="87">
        <f t="shared" si="0"/>
        <v>7160</v>
      </c>
      <c r="G8" s="318">
        <v>5500</v>
      </c>
      <c r="H8" s="318">
        <v>0</v>
      </c>
      <c r="I8" s="318">
        <v>0</v>
      </c>
      <c r="J8" s="179">
        <f aca="true" t="shared" si="5" ref="J8:J32">SUM(G8:I8)</f>
        <v>5500</v>
      </c>
      <c r="K8" s="335">
        <v>6857</v>
      </c>
      <c r="L8" s="335">
        <v>0</v>
      </c>
      <c r="M8" s="335">
        <v>0</v>
      </c>
      <c r="N8" s="123">
        <f t="shared" si="1"/>
        <v>6857</v>
      </c>
      <c r="O8" s="335">
        <v>6857</v>
      </c>
      <c r="P8" s="335">
        <v>0</v>
      </c>
      <c r="Q8" s="335">
        <v>0</v>
      </c>
      <c r="R8" s="87">
        <f>O8+P8+Q8</f>
        <v>6857</v>
      </c>
      <c r="S8" s="363">
        <f aca="true" t="shared" si="6" ref="S8:T27">K8-O8</f>
        <v>0</v>
      </c>
      <c r="T8" s="363">
        <f aca="true" t="shared" si="7" ref="T8:T23">L8-P8</f>
        <v>0</v>
      </c>
      <c r="U8" s="363">
        <f aca="true" t="shared" si="8" ref="U8:U32">M8-Q8</f>
        <v>0</v>
      </c>
      <c r="V8" s="363">
        <f aca="true" t="shared" si="9" ref="V8:V32">S8+T8+U8</f>
        <v>0</v>
      </c>
      <c r="W8" s="363">
        <f t="shared" si="2"/>
        <v>303</v>
      </c>
      <c r="X8" s="363">
        <f t="shared" si="3"/>
        <v>0</v>
      </c>
      <c r="Y8" s="363">
        <f t="shared" si="4"/>
        <v>0</v>
      </c>
      <c r="Z8" s="363">
        <f aca="true" t="shared" si="10" ref="Z8:Z13">W8+X8+Y8</f>
        <v>303</v>
      </c>
      <c r="AE8" s="84"/>
      <c r="AF8" s="84"/>
      <c r="AG8" s="84"/>
      <c r="AH8" s="84"/>
      <c r="AI8" s="84"/>
      <c r="AJ8" s="84"/>
    </row>
    <row r="9" spans="1:43" ht="18" customHeight="1">
      <c r="A9" s="88">
        <v>3</v>
      </c>
      <c r="B9" s="89" t="s">
        <v>3</v>
      </c>
      <c r="C9" s="317">
        <v>88</v>
      </c>
      <c r="D9" s="317">
        <v>0</v>
      </c>
      <c r="E9" s="317">
        <v>0</v>
      </c>
      <c r="F9" s="90">
        <f t="shared" si="0"/>
        <v>88</v>
      </c>
      <c r="G9" s="317">
        <v>3</v>
      </c>
      <c r="H9" s="317">
        <v>0</v>
      </c>
      <c r="I9" s="317">
        <v>0</v>
      </c>
      <c r="J9" s="180">
        <f t="shared" si="5"/>
        <v>3</v>
      </c>
      <c r="K9" s="358">
        <v>0</v>
      </c>
      <c r="L9" s="358">
        <v>0</v>
      </c>
      <c r="M9" s="358">
        <v>0</v>
      </c>
      <c r="N9" s="123">
        <f t="shared" si="1"/>
        <v>0</v>
      </c>
      <c r="O9" s="358">
        <v>0</v>
      </c>
      <c r="P9" s="358">
        <v>0</v>
      </c>
      <c r="Q9" s="358">
        <v>0</v>
      </c>
      <c r="R9" s="90">
        <f aca="true" t="shared" si="11" ref="R9:R32">O9+P9+Q9</f>
        <v>0</v>
      </c>
      <c r="S9" s="364">
        <f t="shared" si="6"/>
        <v>0</v>
      </c>
      <c r="T9" s="364">
        <f t="shared" si="7"/>
        <v>0</v>
      </c>
      <c r="U9" s="364">
        <f t="shared" si="8"/>
        <v>0</v>
      </c>
      <c r="V9" s="364">
        <f t="shared" si="9"/>
        <v>0</v>
      </c>
      <c r="W9" s="364">
        <f t="shared" si="2"/>
        <v>88</v>
      </c>
      <c r="X9" s="364">
        <f t="shared" si="3"/>
        <v>0</v>
      </c>
      <c r="Y9" s="364">
        <f t="shared" si="4"/>
        <v>0</v>
      </c>
      <c r="Z9" s="364">
        <f t="shared" si="10"/>
        <v>88</v>
      </c>
      <c r="AE9" s="84"/>
      <c r="AF9" s="84"/>
      <c r="AG9" s="84"/>
      <c r="AH9" s="84"/>
      <c r="AI9" s="84"/>
      <c r="AJ9" s="84"/>
      <c r="AQ9" s="70" t="s">
        <v>4</v>
      </c>
    </row>
    <row r="10" spans="1:43" ht="18" customHeight="1">
      <c r="A10" s="81">
        <v>4</v>
      </c>
      <c r="B10" s="82" t="s">
        <v>31</v>
      </c>
      <c r="C10" s="240">
        <v>81</v>
      </c>
      <c r="D10" s="240">
        <v>0</v>
      </c>
      <c r="E10" s="240">
        <v>0</v>
      </c>
      <c r="F10" s="83">
        <f t="shared" si="0"/>
        <v>81</v>
      </c>
      <c r="G10" s="240">
        <v>110</v>
      </c>
      <c r="H10" s="240">
        <v>0</v>
      </c>
      <c r="I10" s="240">
        <v>0</v>
      </c>
      <c r="J10" s="178">
        <f t="shared" si="5"/>
        <v>110</v>
      </c>
      <c r="K10" s="123">
        <v>13</v>
      </c>
      <c r="L10" s="123">
        <v>0</v>
      </c>
      <c r="M10" s="123">
        <v>0</v>
      </c>
      <c r="N10" s="123">
        <f t="shared" si="1"/>
        <v>13</v>
      </c>
      <c r="O10" s="123">
        <v>8</v>
      </c>
      <c r="P10" s="123">
        <v>0</v>
      </c>
      <c r="Q10" s="123">
        <v>0</v>
      </c>
      <c r="R10" s="83">
        <f t="shared" si="11"/>
        <v>8</v>
      </c>
      <c r="S10" s="118">
        <f t="shared" si="6"/>
        <v>5</v>
      </c>
      <c r="T10" s="118">
        <f t="shared" si="7"/>
        <v>0</v>
      </c>
      <c r="U10" s="118">
        <f t="shared" si="8"/>
        <v>0</v>
      </c>
      <c r="V10" s="118">
        <f t="shared" si="9"/>
        <v>5</v>
      </c>
      <c r="W10" s="118">
        <f t="shared" si="2"/>
        <v>73</v>
      </c>
      <c r="X10" s="118">
        <f t="shared" si="3"/>
        <v>0</v>
      </c>
      <c r="Y10" s="118">
        <f t="shared" si="4"/>
        <v>0</v>
      </c>
      <c r="Z10" s="118">
        <f t="shared" si="10"/>
        <v>73</v>
      </c>
      <c r="AE10" s="84"/>
      <c r="AF10" s="84"/>
      <c r="AG10" s="84"/>
      <c r="AH10" s="84"/>
      <c r="AI10" s="84"/>
      <c r="AJ10" s="84"/>
      <c r="AQ10" s="70" t="s">
        <v>4</v>
      </c>
    </row>
    <row r="11" spans="1:43" ht="18" customHeight="1">
      <c r="A11" s="85">
        <v>5</v>
      </c>
      <c r="B11" s="86" t="s">
        <v>5</v>
      </c>
      <c r="C11" s="318">
        <v>0</v>
      </c>
      <c r="D11" s="318">
        <v>0</v>
      </c>
      <c r="E11" s="318">
        <v>0</v>
      </c>
      <c r="F11" s="87">
        <f t="shared" si="0"/>
        <v>0</v>
      </c>
      <c r="G11" s="318">
        <v>0</v>
      </c>
      <c r="H11" s="318">
        <v>0</v>
      </c>
      <c r="I11" s="318">
        <v>0</v>
      </c>
      <c r="J11" s="179">
        <f t="shared" si="5"/>
        <v>0</v>
      </c>
      <c r="K11" s="359">
        <v>0</v>
      </c>
      <c r="L11" s="359">
        <v>0</v>
      </c>
      <c r="M11" s="359">
        <v>0</v>
      </c>
      <c r="N11" s="123">
        <f t="shared" si="1"/>
        <v>0</v>
      </c>
      <c r="O11" s="359">
        <v>0</v>
      </c>
      <c r="P11" s="359">
        <v>0</v>
      </c>
      <c r="Q11" s="359">
        <v>0</v>
      </c>
      <c r="R11" s="87">
        <f t="shared" si="11"/>
        <v>0</v>
      </c>
      <c r="S11" s="363">
        <f t="shared" si="6"/>
        <v>0</v>
      </c>
      <c r="T11" s="363">
        <f t="shared" si="7"/>
        <v>0</v>
      </c>
      <c r="U11" s="363">
        <f t="shared" si="8"/>
        <v>0</v>
      </c>
      <c r="V11" s="363">
        <f t="shared" si="9"/>
        <v>0</v>
      </c>
      <c r="W11" s="363">
        <f t="shared" si="2"/>
        <v>0</v>
      </c>
      <c r="X11" s="363">
        <f t="shared" si="3"/>
        <v>0</v>
      </c>
      <c r="Y11" s="363">
        <f t="shared" si="4"/>
        <v>0</v>
      </c>
      <c r="Z11" s="363">
        <f t="shared" si="10"/>
        <v>0</v>
      </c>
      <c r="AE11" s="84"/>
      <c r="AF11" s="84"/>
      <c r="AG11" s="84"/>
      <c r="AH11" s="84"/>
      <c r="AI11" s="84"/>
      <c r="AJ11" s="84"/>
      <c r="AQ11" s="70" t="s">
        <v>4</v>
      </c>
    </row>
    <row r="12" spans="1:43" ht="18" customHeight="1">
      <c r="A12" s="88">
        <v>6</v>
      </c>
      <c r="B12" s="89" t="s">
        <v>32</v>
      </c>
      <c r="C12" s="317">
        <v>3396</v>
      </c>
      <c r="D12" s="317">
        <v>0</v>
      </c>
      <c r="E12" s="317">
        <v>0</v>
      </c>
      <c r="F12" s="90">
        <f t="shared" si="0"/>
        <v>3396</v>
      </c>
      <c r="G12" s="317">
        <v>2531</v>
      </c>
      <c r="H12" s="317">
        <v>0</v>
      </c>
      <c r="I12" s="317">
        <v>0</v>
      </c>
      <c r="J12" s="180">
        <f t="shared" si="5"/>
        <v>2531</v>
      </c>
      <c r="K12" s="358">
        <v>131</v>
      </c>
      <c r="L12" s="358">
        <v>0</v>
      </c>
      <c r="M12" s="358">
        <v>0</v>
      </c>
      <c r="N12" s="123">
        <f t="shared" si="1"/>
        <v>131</v>
      </c>
      <c r="O12" s="358">
        <v>116</v>
      </c>
      <c r="P12" s="358">
        <v>0</v>
      </c>
      <c r="Q12" s="358">
        <v>0</v>
      </c>
      <c r="R12" s="90">
        <f t="shared" si="11"/>
        <v>116</v>
      </c>
      <c r="S12" s="364">
        <f t="shared" si="6"/>
        <v>15</v>
      </c>
      <c r="T12" s="364">
        <f t="shared" si="7"/>
        <v>0</v>
      </c>
      <c r="U12" s="364">
        <f t="shared" si="8"/>
        <v>0</v>
      </c>
      <c r="V12" s="364">
        <f t="shared" si="9"/>
        <v>15</v>
      </c>
      <c r="W12" s="364">
        <f t="shared" si="2"/>
        <v>3280</v>
      </c>
      <c r="X12" s="364">
        <f t="shared" si="3"/>
        <v>0</v>
      </c>
      <c r="Y12" s="364">
        <f t="shared" si="4"/>
        <v>0</v>
      </c>
      <c r="Z12" s="364">
        <f t="shared" si="10"/>
        <v>3280</v>
      </c>
      <c r="AE12" s="84"/>
      <c r="AF12" s="84"/>
      <c r="AG12" s="84"/>
      <c r="AH12" s="84"/>
      <c r="AI12" s="84"/>
      <c r="AJ12" s="84"/>
      <c r="AQ12" s="70" t="s">
        <v>4</v>
      </c>
    </row>
    <row r="13" spans="1:43" ht="18" customHeight="1">
      <c r="A13" s="81">
        <v>7</v>
      </c>
      <c r="B13" s="95" t="s">
        <v>66</v>
      </c>
      <c r="C13" s="240">
        <v>415</v>
      </c>
      <c r="D13" s="240">
        <v>0</v>
      </c>
      <c r="E13" s="240">
        <v>0</v>
      </c>
      <c r="F13" s="83">
        <f t="shared" si="0"/>
        <v>415</v>
      </c>
      <c r="G13" s="240">
        <v>386</v>
      </c>
      <c r="H13" s="240">
        <v>0</v>
      </c>
      <c r="I13" s="240">
        <v>0</v>
      </c>
      <c r="J13" s="178">
        <f t="shared" si="5"/>
        <v>386</v>
      </c>
      <c r="K13" s="123">
        <v>350</v>
      </c>
      <c r="L13" s="123">
        <v>0</v>
      </c>
      <c r="M13" s="123">
        <v>0</v>
      </c>
      <c r="N13" s="123">
        <f t="shared" si="1"/>
        <v>350</v>
      </c>
      <c r="O13" s="123">
        <v>350</v>
      </c>
      <c r="P13" s="123">
        <v>0</v>
      </c>
      <c r="Q13" s="123">
        <v>0</v>
      </c>
      <c r="R13" s="83">
        <f t="shared" si="11"/>
        <v>350</v>
      </c>
      <c r="S13" s="118">
        <f t="shared" si="6"/>
        <v>0</v>
      </c>
      <c r="T13" s="118">
        <f t="shared" si="7"/>
        <v>0</v>
      </c>
      <c r="U13" s="118">
        <f t="shared" si="8"/>
        <v>0</v>
      </c>
      <c r="V13" s="118">
        <f t="shared" si="9"/>
        <v>0</v>
      </c>
      <c r="W13" s="118">
        <f t="shared" si="2"/>
        <v>65</v>
      </c>
      <c r="X13" s="118">
        <f t="shared" si="3"/>
        <v>0</v>
      </c>
      <c r="Y13" s="118">
        <f t="shared" si="4"/>
        <v>0</v>
      </c>
      <c r="Z13" s="118">
        <f t="shared" si="10"/>
        <v>65</v>
      </c>
      <c r="AE13" s="84"/>
      <c r="AF13" s="84"/>
      <c r="AG13" s="84"/>
      <c r="AH13" s="84"/>
      <c r="AI13" s="84"/>
      <c r="AJ13" s="84"/>
      <c r="AQ13" s="70" t="s">
        <v>4</v>
      </c>
    </row>
    <row r="14" spans="1:43" ht="18" customHeight="1">
      <c r="A14" s="91">
        <v>8</v>
      </c>
      <c r="B14" s="124" t="s">
        <v>67</v>
      </c>
      <c r="C14" s="318">
        <v>182</v>
      </c>
      <c r="D14" s="318">
        <v>0</v>
      </c>
      <c r="E14" s="318">
        <v>0</v>
      </c>
      <c r="F14" s="87">
        <f t="shared" si="0"/>
        <v>182</v>
      </c>
      <c r="G14" s="318">
        <v>10</v>
      </c>
      <c r="H14" s="318">
        <v>0</v>
      </c>
      <c r="I14" s="318">
        <v>0</v>
      </c>
      <c r="J14" s="179">
        <f t="shared" si="5"/>
        <v>10</v>
      </c>
      <c r="K14" s="359">
        <v>0</v>
      </c>
      <c r="L14" s="359">
        <v>0</v>
      </c>
      <c r="M14" s="359">
        <v>0</v>
      </c>
      <c r="N14" s="123">
        <f t="shared" si="1"/>
        <v>0</v>
      </c>
      <c r="O14" s="359">
        <v>0</v>
      </c>
      <c r="P14" s="359">
        <v>0</v>
      </c>
      <c r="Q14" s="359">
        <v>0</v>
      </c>
      <c r="R14" s="87">
        <f t="shared" si="11"/>
        <v>0</v>
      </c>
      <c r="S14" s="363">
        <f t="shared" si="6"/>
        <v>0</v>
      </c>
      <c r="T14" s="363">
        <f t="shared" si="7"/>
        <v>0</v>
      </c>
      <c r="U14" s="363">
        <f t="shared" si="8"/>
        <v>0</v>
      </c>
      <c r="V14" s="363">
        <f t="shared" si="9"/>
        <v>0</v>
      </c>
      <c r="W14" s="363">
        <f t="shared" si="2"/>
        <v>182</v>
      </c>
      <c r="X14" s="363">
        <f t="shared" si="3"/>
        <v>0</v>
      </c>
      <c r="Y14" s="363">
        <f t="shared" si="4"/>
        <v>0</v>
      </c>
      <c r="Z14" s="363">
        <f>W14+X14+Y14</f>
        <v>182</v>
      </c>
      <c r="AE14" s="84"/>
      <c r="AF14" s="84"/>
      <c r="AG14" s="84"/>
      <c r="AH14" s="84"/>
      <c r="AI14" s="84"/>
      <c r="AJ14" s="84"/>
      <c r="AQ14" s="70" t="s">
        <v>4</v>
      </c>
    </row>
    <row r="15" spans="1:36" ht="18" customHeight="1">
      <c r="A15" s="88">
        <v>9</v>
      </c>
      <c r="B15" s="96" t="s">
        <v>33</v>
      </c>
      <c r="C15" s="317">
        <v>1482</v>
      </c>
      <c r="D15" s="317">
        <v>0</v>
      </c>
      <c r="E15" s="317">
        <v>0</v>
      </c>
      <c r="F15" s="90">
        <f t="shared" si="0"/>
        <v>1482</v>
      </c>
      <c r="G15" s="317">
        <v>1273</v>
      </c>
      <c r="H15" s="317">
        <v>23</v>
      </c>
      <c r="I15" s="317">
        <v>0</v>
      </c>
      <c r="J15" s="180">
        <f t="shared" si="5"/>
        <v>1296</v>
      </c>
      <c r="K15" s="336">
        <v>1472</v>
      </c>
      <c r="L15" s="336">
        <v>0</v>
      </c>
      <c r="M15" s="336">
        <v>0</v>
      </c>
      <c r="N15" s="123">
        <f t="shared" si="1"/>
        <v>1472</v>
      </c>
      <c r="O15" s="336">
        <v>1472</v>
      </c>
      <c r="P15" s="336">
        <v>0</v>
      </c>
      <c r="Q15" s="336">
        <v>0</v>
      </c>
      <c r="R15" s="90">
        <f t="shared" si="11"/>
        <v>1472</v>
      </c>
      <c r="S15" s="364">
        <f>K15-O15</f>
        <v>0</v>
      </c>
      <c r="T15" s="364">
        <f t="shared" si="7"/>
        <v>0</v>
      </c>
      <c r="U15" s="364">
        <f t="shared" si="8"/>
        <v>0</v>
      </c>
      <c r="V15" s="364">
        <f t="shared" si="9"/>
        <v>0</v>
      </c>
      <c r="W15" s="364">
        <f t="shared" si="2"/>
        <v>10</v>
      </c>
      <c r="X15" s="364">
        <f t="shared" si="3"/>
        <v>0</v>
      </c>
      <c r="Y15" s="364">
        <f t="shared" si="4"/>
        <v>0</v>
      </c>
      <c r="Z15" s="364">
        <f aca="true" t="shared" si="12" ref="Z15:Z32">W15+X15+Y15</f>
        <v>10</v>
      </c>
      <c r="AE15" s="84"/>
      <c r="AF15" s="84"/>
      <c r="AG15" s="84"/>
      <c r="AH15" s="84"/>
      <c r="AI15" s="84"/>
      <c r="AJ15" s="84"/>
    </row>
    <row r="16" spans="1:36" ht="18" customHeight="1">
      <c r="A16" s="81">
        <v>10</v>
      </c>
      <c r="B16" s="82" t="s">
        <v>6</v>
      </c>
      <c r="C16" s="240">
        <v>47</v>
      </c>
      <c r="D16" s="240">
        <v>0</v>
      </c>
      <c r="E16" s="240">
        <v>0</v>
      </c>
      <c r="F16" s="83">
        <f t="shared" si="0"/>
        <v>47</v>
      </c>
      <c r="G16" s="240">
        <v>137</v>
      </c>
      <c r="H16" s="240">
        <v>0</v>
      </c>
      <c r="I16" s="240">
        <v>0</v>
      </c>
      <c r="J16" s="178">
        <f t="shared" si="5"/>
        <v>137</v>
      </c>
      <c r="K16" s="123">
        <v>0</v>
      </c>
      <c r="L16" s="123">
        <v>0</v>
      </c>
      <c r="M16" s="123">
        <v>0</v>
      </c>
      <c r="N16" s="123">
        <f t="shared" si="1"/>
        <v>0</v>
      </c>
      <c r="O16" s="123">
        <v>0</v>
      </c>
      <c r="P16" s="123">
        <v>0</v>
      </c>
      <c r="Q16" s="123">
        <v>0</v>
      </c>
      <c r="R16" s="123">
        <f t="shared" si="11"/>
        <v>0</v>
      </c>
      <c r="S16" s="118">
        <f t="shared" si="6"/>
        <v>0</v>
      </c>
      <c r="T16" s="118">
        <f t="shared" si="7"/>
        <v>0</v>
      </c>
      <c r="U16" s="118">
        <f t="shared" si="8"/>
        <v>0</v>
      </c>
      <c r="V16" s="118">
        <f t="shared" si="9"/>
        <v>0</v>
      </c>
      <c r="W16" s="118">
        <f t="shared" si="2"/>
        <v>47</v>
      </c>
      <c r="X16" s="118">
        <f t="shared" si="3"/>
        <v>0</v>
      </c>
      <c r="Y16" s="118">
        <f t="shared" si="4"/>
        <v>0</v>
      </c>
      <c r="Z16" s="118">
        <f t="shared" si="12"/>
        <v>47</v>
      </c>
      <c r="AE16" s="84"/>
      <c r="AF16" s="84"/>
      <c r="AG16" s="84"/>
      <c r="AH16" s="84"/>
      <c r="AI16" s="84"/>
      <c r="AJ16" s="84"/>
    </row>
    <row r="17" spans="1:36" ht="18" customHeight="1">
      <c r="A17" s="91">
        <v>11</v>
      </c>
      <c r="B17" s="86" t="s">
        <v>34</v>
      </c>
      <c r="C17" s="318">
        <v>8495</v>
      </c>
      <c r="D17" s="318">
        <v>776</v>
      </c>
      <c r="E17" s="318">
        <v>0</v>
      </c>
      <c r="F17" s="87">
        <f t="shared" si="0"/>
        <v>9271</v>
      </c>
      <c r="G17" s="318">
        <v>2102</v>
      </c>
      <c r="H17" s="318">
        <v>0</v>
      </c>
      <c r="I17" s="318">
        <v>0</v>
      </c>
      <c r="J17" s="179">
        <f t="shared" si="5"/>
        <v>2102</v>
      </c>
      <c r="K17" s="359">
        <f>61-44</f>
        <v>17</v>
      </c>
      <c r="L17" s="359">
        <v>0</v>
      </c>
      <c r="M17" s="359">
        <v>0</v>
      </c>
      <c r="N17" s="123">
        <f t="shared" si="1"/>
        <v>17</v>
      </c>
      <c r="O17" s="359">
        <f>60-43</f>
        <v>17</v>
      </c>
      <c r="P17" s="359">
        <v>0</v>
      </c>
      <c r="Q17" s="359">
        <v>0</v>
      </c>
      <c r="R17" s="87">
        <f>O17+P17+Q17</f>
        <v>17</v>
      </c>
      <c r="S17" s="363">
        <f t="shared" si="6"/>
        <v>0</v>
      </c>
      <c r="T17" s="363">
        <f t="shared" si="7"/>
        <v>0</v>
      </c>
      <c r="U17" s="363">
        <f t="shared" si="8"/>
        <v>0</v>
      </c>
      <c r="V17" s="363">
        <f t="shared" si="9"/>
        <v>0</v>
      </c>
      <c r="W17" s="363">
        <f t="shared" si="2"/>
        <v>8478</v>
      </c>
      <c r="X17" s="363">
        <f t="shared" si="3"/>
        <v>776</v>
      </c>
      <c r="Y17" s="363">
        <f t="shared" si="4"/>
        <v>0</v>
      </c>
      <c r="Z17" s="363">
        <f t="shared" si="12"/>
        <v>9254</v>
      </c>
      <c r="AE17" s="84"/>
      <c r="AF17" s="84"/>
      <c r="AG17" s="84"/>
      <c r="AH17" s="84"/>
      <c r="AI17" s="84"/>
      <c r="AJ17" s="84"/>
    </row>
    <row r="18" spans="1:36" ht="18" customHeight="1">
      <c r="A18" s="88">
        <v>12</v>
      </c>
      <c r="B18" s="89" t="s">
        <v>35</v>
      </c>
      <c r="C18" s="317">
        <v>10892</v>
      </c>
      <c r="D18" s="317">
        <v>0</v>
      </c>
      <c r="E18" s="317">
        <v>0</v>
      </c>
      <c r="F18" s="90">
        <f t="shared" si="0"/>
        <v>10892</v>
      </c>
      <c r="G18" s="317">
        <v>7830</v>
      </c>
      <c r="H18" s="317">
        <v>0</v>
      </c>
      <c r="I18" s="317">
        <v>0</v>
      </c>
      <c r="J18" s="180">
        <f t="shared" si="5"/>
        <v>7830</v>
      </c>
      <c r="K18" s="358">
        <v>1618</v>
      </c>
      <c r="L18" s="373">
        <v>0</v>
      </c>
      <c r="M18" s="358">
        <v>0</v>
      </c>
      <c r="N18" s="123">
        <f t="shared" si="1"/>
        <v>1618</v>
      </c>
      <c r="O18" s="358">
        <v>1500</v>
      </c>
      <c r="P18" s="373">
        <v>0</v>
      </c>
      <c r="Q18" s="358">
        <v>0</v>
      </c>
      <c r="R18" s="90">
        <f>O18+P18+Q18</f>
        <v>1500</v>
      </c>
      <c r="S18" s="364">
        <f t="shared" si="6"/>
        <v>118</v>
      </c>
      <c r="T18" s="364">
        <f t="shared" si="7"/>
        <v>0</v>
      </c>
      <c r="U18" s="364">
        <f t="shared" si="8"/>
        <v>0</v>
      </c>
      <c r="V18" s="364">
        <f t="shared" si="9"/>
        <v>118</v>
      </c>
      <c r="W18" s="364">
        <f t="shared" si="2"/>
        <v>9392</v>
      </c>
      <c r="X18" s="364">
        <f t="shared" si="3"/>
        <v>0</v>
      </c>
      <c r="Y18" s="364">
        <f t="shared" si="4"/>
        <v>0</v>
      </c>
      <c r="Z18" s="364">
        <f t="shared" si="12"/>
        <v>9392</v>
      </c>
      <c r="AE18" s="84"/>
      <c r="AF18" s="84"/>
      <c r="AG18" s="84"/>
      <c r="AH18" s="84"/>
      <c r="AI18" s="84"/>
      <c r="AJ18" s="84"/>
    </row>
    <row r="19" spans="1:36" ht="18" customHeight="1">
      <c r="A19" s="81">
        <v>13</v>
      </c>
      <c r="B19" s="82" t="s">
        <v>68</v>
      </c>
      <c r="C19" s="240">
        <v>91</v>
      </c>
      <c r="D19" s="240">
        <v>0</v>
      </c>
      <c r="E19" s="240">
        <v>0</v>
      </c>
      <c r="F19" s="83">
        <f t="shared" si="0"/>
        <v>91</v>
      </c>
      <c r="G19" s="240">
        <v>0</v>
      </c>
      <c r="H19" s="240">
        <v>0</v>
      </c>
      <c r="I19" s="240">
        <v>0</v>
      </c>
      <c r="J19" s="178">
        <f t="shared" si="5"/>
        <v>0</v>
      </c>
      <c r="K19" s="123">
        <v>0</v>
      </c>
      <c r="L19" s="123">
        <v>0</v>
      </c>
      <c r="M19" s="123">
        <v>0</v>
      </c>
      <c r="N19" s="123">
        <f t="shared" si="1"/>
        <v>0</v>
      </c>
      <c r="O19" s="123">
        <v>0</v>
      </c>
      <c r="P19" s="123">
        <v>0</v>
      </c>
      <c r="Q19" s="123">
        <v>0</v>
      </c>
      <c r="R19" s="83">
        <f t="shared" si="11"/>
        <v>0</v>
      </c>
      <c r="S19" s="118">
        <f t="shared" si="6"/>
        <v>0</v>
      </c>
      <c r="T19" s="118">
        <f t="shared" si="7"/>
        <v>0</v>
      </c>
      <c r="U19" s="118">
        <f t="shared" si="8"/>
        <v>0</v>
      </c>
      <c r="V19" s="118">
        <f t="shared" si="9"/>
        <v>0</v>
      </c>
      <c r="W19" s="118">
        <f t="shared" si="2"/>
        <v>91</v>
      </c>
      <c r="X19" s="118">
        <f t="shared" si="3"/>
        <v>0</v>
      </c>
      <c r="Y19" s="118">
        <f t="shared" si="4"/>
        <v>0</v>
      </c>
      <c r="Z19" s="118">
        <f t="shared" si="12"/>
        <v>91</v>
      </c>
      <c r="AE19" s="84"/>
      <c r="AF19" s="84"/>
      <c r="AG19" s="84"/>
      <c r="AH19" s="84"/>
      <c r="AI19" s="84"/>
      <c r="AJ19" s="84"/>
    </row>
    <row r="20" spans="1:36" ht="18" customHeight="1">
      <c r="A20" s="85">
        <v>14</v>
      </c>
      <c r="B20" s="86" t="s">
        <v>36</v>
      </c>
      <c r="C20" s="339">
        <v>11641</v>
      </c>
      <c r="D20" s="339">
        <v>336</v>
      </c>
      <c r="E20" s="340">
        <v>0</v>
      </c>
      <c r="F20" s="87">
        <f t="shared" si="0"/>
        <v>11977</v>
      </c>
      <c r="G20" s="318">
        <v>9167</v>
      </c>
      <c r="H20" s="318">
        <v>1</v>
      </c>
      <c r="I20" s="318">
        <v>0</v>
      </c>
      <c r="J20" s="179">
        <f t="shared" si="5"/>
        <v>9168</v>
      </c>
      <c r="K20" s="359">
        <v>1077</v>
      </c>
      <c r="L20" s="359">
        <v>0</v>
      </c>
      <c r="M20" s="359">
        <v>0</v>
      </c>
      <c r="N20" s="123">
        <f t="shared" si="1"/>
        <v>1077</v>
      </c>
      <c r="O20" s="359">
        <v>1077</v>
      </c>
      <c r="P20" s="359">
        <v>0</v>
      </c>
      <c r="Q20" s="359">
        <v>0</v>
      </c>
      <c r="R20" s="87">
        <f t="shared" si="11"/>
        <v>1077</v>
      </c>
      <c r="S20" s="363">
        <f t="shared" si="6"/>
        <v>0</v>
      </c>
      <c r="T20" s="363">
        <f t="shared" si="7"/>
        <v>0</v>
      </c>
      <c r="U20" s="363">
        <f t="shared" si="8"/>
        <v>0</v>
      </c>
      <c r="V20" s="363">
        <f t="shared" si="9"/>
        <v>0</v>
      </c>
      <c r="W20" s="363">
        <f t="shared" si="2"/>
        <v>10564</v>
      </c>
      <c r="X20" s="363">
        <f t="shared" si="3"/>
        <v>336</v>
      </c>
      <c r="Y20" s="363">
        <f t="shared" si="4"/>
        <v>0</v>
      </c>
      <c r="Z20" s="363">
        <f t="shared" si="12"/>
        <v>10900</v>
      </c>
      <c r="AE20" s="84"/>
      <c r="AF20" s="84"/>
      <c r="AG20" s="84"/>
      <c r="AH20" s="84"/>
      <c r="AI20" s="84"/>
      <c r="AJ20" s="84"/>
    </row>
    <row r="21" spans="1:36" ht="18" customHeight="1">
      <c r="A21" s="88">
        <v>15</v>
      </c>
      <c r="B21" s="89" t="s">
        <v>13</v>
      </c>
      <c r="C21" s="317">
        <v>238</v>
      </c>
      <c r="D21" s="317">
        <v>0</v>
      </c>
      <c r="E21" s="317">
        <v>0</v>
      </c>
      <c r="F21" s="90">
        <f t="shared" si="0"/>
        <v>238</v>
      </c>
      <c r="G21" s="317">
        <v>158</v>
      </c>
      <c r="H21" s="317">
        <v>0</v>
      </c>
      <c r="I21" s="317">
        <v>0</v>
      </c>
      <c r="J21" s="317">
        <f>SUM(G21:I21)</f>
        <v>158</v>
      </c>
      <c r="K21" s="358">
        <v>0</v>
      </c>
      <c r="L21" s="358">
        <v>0</v>
      </c>
      <c r="M21" s="358">
        <v>0</v>
      </c>
      <c r="N21" s="123">
        <f t="shared" si="1"/>
        <v>0</v>
      </c>
      <c r="O21" s="358">
        <v>0</v>
      </c>
      <c r="P21" s="358">
        <v>0</v>
      </c>
      <c r="Q21" s="358">
        <v>0</v>
      </c>
      <c r="R21" s="90">
        <f t="shared" si="11"/>
        <v>0</v>
      </c>
      <c r="S21" s="364">
        <f t="shared" si="6"/>
        <v>0</v>
      </c>
      <c r="T21" s="364">
        <f>L21-P21</f>
        <v>0</v>
      </c>
      <c r="U21" s="364">
        <f t="shared" si="8"/>
        <v>0</v>
      </c>
      <c r="V21" s="364">
        <f t="shared" si="9"/>
        <v>0</v>
      </c>
      <c r="W21" s="364">
        <f t="shared" si="2"/>
        <v>238</v>
      </c>
      <c r="X21" s="364">
        <f t="shared" si="3"/>
        <v>0</v>
      </c>
      <c r="Y21" s="364">
        <f t="shared" si="4"/>
        <v>0</v>
      </c>
      <c r="Z21" s="364">
        <f t="shared" si="12"/>
        <v>238</v>
      </c>
      <c r="AE21" s="84"/>
      <c r="AF21" s="84"/>
      <c r="AG21" s="84"/>
      <c r="AH21" s="84"/>
      <c r="AI21" s="84"/>
      <c r="AJ21" s="84"/>
    </row>
    <row r="22" spans="1:36" ht="18" customHeight="1">
      <c r="A22" s="91">
        <v>16</v>
      </c>
      <c r="B22" s="124" t="s">
        <v>12</v>
      </c>
      <c r="C22" s="240">
        <v>0</v>
      </c>
      <c r="D22" s="240">
        <v>0</v>
      </c>
      <c r="E22" s="240">
        <v>0</v>
      </c>
      <c r="F22" s="83">
        <f t="shared" si="0"/>
        <v>0</v>
      </c>
      <c r="G22" s="240">
        <v>0</v>
      </c>
      <c r="H22" s="240">
        <v>0</v>
      </c>
      <c r="I22" s="240">
        <v>0</v>
      </c>
      <c r="J22" s="240">
        <f>SUM(G22:I22)</f>
        <v>0</v>
      </c>
      <c r="K22" s="359">
        <v>0</v>
      </c>
      <c r="L22" s="359">
        <v>0</v>
      </c>
      <c r="M22" s="359">
        <v>0</v>
      </c>
      <c r="N22" s="123">
        <f t="shared" si="1"/>
        <v>0</v>
      </c>
      <c r="O22" s="359">
        <v>0</v>
      </c>
      <c r="P22" s="359">
        <v>0</v>
      </c>
      <c r="Q22" s="359">
        <v>0</v>
      </c>
      <c r="R22" s="123">
        <f t="shared" si="11"/>
        <v>0</v>
      </c>
      <c r="S22" s="118">
        <f t="shared" si="6"/>
        <v>0</v>
      </c>
      <c r="T22" s="118">
        <f t="shared" si="7"/>
        <v>0</v>
      </c>
      <c r="U22" s="118">
        <f t="shared" si="8"/>
        <v>0</v>
      </c>
      <c r="V22" s="118">
        <f t="shared" si="9"/>
        <v>0</v>
      </c>
      <c r="W22" s="118">
        <f t="shared" si="2"/>
        <v>0</v>
      </c>
      <c r="X22" s="118">
        <f t="shared" si="3"/>
        <v>0</v>
      </c>
      <c r="Y22" s="118">
        <f t="shared" si="4"/>
        <v>0</v>
      </c>
      <c r="Z22" s="118">
        <f t="shared" si="12"/>
        <v>0</v>
      </c>
      <c r="AE22" s="84"/>
      <c r="AF22" s="84"/>
      <c r="AG22" s="84"/>
      <c r="AH22" s="84"/>
      <c r="AI22" s="84"/>
      <c r="AJ22" s="84"/>
    </row>
    <row r="23" spans="1:36" ht="18" customHeight="1">
      <c r="A23" s="85">
        <v>17</v>
      </c>
      <c r="B23" s="86" t="s">
        <v>69</v>
      </c>
      <c r="C23" s="318">
        <v>0</v>
      </c>
      <c r="D23" s="318">
        <v>0</v>
      </c>
      <c r="E23" s="318">
        <v>0</v>
      </c>
      <c r="F23" s="87">
        <f t="shared" si="0"/>
        <v>0</v>
      </c>
      <c r="G23" s="318">
        <v>0</v>
      </c>
      <c r="H23" s="318">
        <v>0</v>
      </c>
      <c r="I23" s="318">
        <v>0</v>
      </c>
      <c r="J23" s="179">
        <f t="shared" si="5"/>
        <v>0</v>
      </c>
      <c r="K23" s="375">
        <v>0</v>
      </c>
      <c r="L23" s="359">
        <v>0</v>
      </c>
      <c r="M23" s="359">
        <v>0</v>
      </c>
      <c r="N23" s="123">
        <f t="shared" si="1"/>
        <v>0</v>
      </c>
      <c r="O23" s="375">
        <v>0</v>
      </c>
      <c r="P23" s="359">
        <v>0</v>
      </c>
      <c r="Q23" s="359">
        <v>0</v>
      </c>
      <c r="R23" s="359">
        <f t="shared" si="11"/>
        <v>0</v>
      </c>
      <c r="S23" s="363">
        <f t="shared" si="6"/>
        <v>0</v>
      </c>
      <c r="T23" s="363">
        <f t="shared" si="7"/>
        <v>0</v>
      </c>
      <c r="U23" s="363">
        <f t="shared" si="8"/>
        <v>0</v>
      </c>
      <c r="V23" s="363">
        <f t="shared" si="9"/>
        <v>0</v>
      </c>
      <c r="W23" s="363">
        <f t="shared" si="2"/>
        <v>0</v>
      </c>
      <c r="X23" s="363">
        <f t="shared" si="3"/>
        <v>0</v>
      </c>
      <c r="Y23" s="363">
        <f t="shared" si="4"/>
        <v>0</v>
      </c>
      <c r="Z23" s="363">
        <f t="shared" si="12"/>
        <v>0</v>
      </c>
      <c r="AE23" s="84"/>
      <c r="AF23" s="84"/>
      <c r="AG23" s="84"/>
      <c r="AH23" s="84"/>
      <c r="AI23" s="84"/>
      <c r="AJ23" s="84"/>
    </row>
    <row r="24" spans="1:36" ht="18" customHeight="1">
      <c r="A24" s="88">
        <v>18</v>
      </c>
      <c r="B24" s="89" t="s">
        <v>37</v>
      </c>
      <c r="C24" s="317">
        <v>31</v>
      </c>
      <c r="D24" s="317">
        <v>0</v>
      </c>
      <c r="E24" s="317">
        <v>0</v>
      </c>
      <c r="F24" s="90">
        <f t="shared" si="0"/>
        <v>31</v>
      </c>
      <c r="G24" s="317">
        <v>61</v>
      </c>
      <c r="H24" s="317">
        <v>0</v>
      </c>
      <c r="I24" s="317">
        <v>0</v>
      </c>
      <c r="J24" s="180">
        <f t="shared" si="5"/>
        <v>61</v>
      </c>
      <c r="K24" s="358">
        <v>0</v>
      </c>
      <c r="L24" s="358">
        <v>0</v>
      </c>
      <c r="M24" s="358">
        <v>0</v>
      </c>
      <c r="N24" s="123">
        <f t="shared" si="1"/>
        <v>0</v>
      </c>
      <c r="O24" s="358">
        <v>0</v>
      </c>
      <c r="P24" s="358">
        <v>0</v>
      </c>
      <c r="Q24" s="358">
        <v>0</v>
      </c>
      <c r="R24" s="90">
        <f t="shared" si="11"/>
        <v>0</v>
      </c>
      <c r="S24" s="364">
        <f t="shared" si="6"/>
        <v>0</v>
      </c>
      <c r="T24" s="364">
        <f t="shared" si="6"/>
        <v>0</v>
      </c>
      <c r="U24" s="364">
        <f t="shared" si="8"/>
        <v>0</v>
      </c>
      <c r="V24" s="364">
        <f t="shared" si="9"/>
        <v>0</v>
      </c>
      <c r="W24" s="364">
        <f t="shared" si="2"/>
        <v>31</v>
      </c>
      <c r="X24" s="364">
        <f t="shared" si="3"/>
        <v>0</v>
      </c>
      <c r="Y24" s="364">
        <f t="shared" si="4"/>
        <v>0</v>
      </c>
      <c r="Z24" s="364">
        <f t="shared" si="12"/>
        <v>31</v>
      </c>
      <c r="AE24" s="84"/>
      <c r="AF24" s="84"/>
      <c r="AG24" s="84"/>
      <c r="AH24" s="84"/>
      <c r="AI24" s="84"/>
      <c r="AJ24" s="84"/>
    </row>
    <row r="25" spans="1:36" ht="18" customHeight="1">
      <c r="A25" s="93">
        <v>19</v>
      </c>
      <c r="B25" s="82" t="s">
        <v>70</v>
      </c>
      <c r="C25" s="240">
        <v>72</v>
      </c>
      <c r="D25" s="240">
        <v>0</v>
      </c>
      <c r="E25" s="240">
        <v>0</v>
      </c>
      <c r="F25" s="83">
        <f t="shared" si="0"/>
        <v>72</v>
      </c>
      <c r="G25" s="240">
        <v>67</v>
      </c>
      <c r="H25" s="240">
        <v>0</v>
      </c>
      <c r="I25" s="240">
        <v>0</v>
      </c>
      <c r="J25" s="178">
        <f t="shared" si="5"/>
        <v>67</v>
      </c>
      <c r="K25" s="123">
        <v>72</v>
      </c>
      <c r="L25" s="356">
        <v>0</v>
      </c>
      <c r="M25" s="123">
        <v>0</v>
      </c>
      <c r="N25" s="123">
        <f t="shared" si="1"/>
        <v>72</v>
      </c>
      <c r="O25" s="123">
        <v>72</v>
      </c>
      <c r="P25" s="356">
        <v>0</v>
      </c>
      <c r="Q25" s="123">
        <v>0</v>
      </c>
      <c r="R25" s="123">
        <f t="shared" si="11"/>
        <v>72</v>
      </c>
      <c r="S25" s="118">
        <f t="shared" si="6"/>
        <v>0</v>
      </c>
      <c r="T25" s="118">
        <f t="shared" si="6"/>
        <v>0</v>
      </c>
      <c r="U25" s="118">
        <f t="shared" si="8"/>
        <v>0</v>
      </c>
      <c r="V25" s="118">
        <f>S25+T25+U25</f>
        <v>0</v>
      </c>
      <c r="W25" s="118">
        <f t="shared" si="2"/>
        <v>0</v>
      </c>
      <c r="X25" s="118">
        <f t="shared" si="3"/>
        <v>0</v>
      </c>
      <c r="Y25" s="118">
        <f t="shared" si="4"/>
        <v>0</v>
      </c>
      <c r="Z25" s="118">
        <f t="shared" si="12"/>
        <v>0</v>
      </c>
      <c r="AE25" s="84"/>
      <c r="AF25" s="84"/>
      <c r="AG25" s="84"/>
      <c r="AH25" s="84"/>
      <c r="AI25" s="84"/>
      <c r="AJ25" s="84"/>
    </row>
    <row r="26" spans="1:36" ht="18" customHeight="1">
      <c r="A26" s="85">
        <v>20</v>
      </c>
      <c r="B26" s="86" t="s">
        <v>71</v>
      </c>
      <c r="C26" s="318">
        <v>2905</v>
      </c>
      <c r="D26" s="318">
        <v>0</v>
      </c>
      <c r="E26" s="318">
        <v>0</v>
      </c>
      <c r="F26" s="87">
        <f t="shared" si="0"/>
        <v>2905</v>
      </c>
      <c r="G26" s="318">
        <v>2166</v>
      </c>
      <c r="H26" s="318">
        <v>0</v>
      </c>
      <c r="I26" s="318">
        <v>0</v>
      </c>
      <c r="J26" s="179">
        <f t="shared" si="5"/>
        <v>2166</v>
      </c>
      <c r="K26" s="355">
        <v>0</v>
      </c>
      <c r="L26" s="356">
        <v>0</v>
      </c>
      <c r="M26" s="357">
        <v>0</v>
      </c>
      <c r="N26" s="123">
        <f t="shared" si="1"/>
        <v>0</v>
      </c>
      <c r="O26" s="355">
        <v>0</v>
      </c>
      <c r="P26" s="356">
        <v>0</v>
      </c>
      <c r="Q26" s="357">
        <v>0</v>
      </c>
      <c r="R26" s="87">
        <f t="shared" si="11"/>
        <v>0</v>
      </c>
      <c r="S26" s="363">
        <f t="shared" si="6"/>
        <v>0</v>
      </c>
      <c r="T26" s="363">
        <f t="shared" si="6"/>
        <v>0</v>
      </c>
      <c r="U26" s="363">
        <f t="shared" si="8"/>
        <v>0</v>
      </c>
      <c r="V26" s="363">
        <f t="shared" si="9"/>
        <v>0</v>
      </c>
      <c r="W26" s="363">
        <f>C26-O26</f>
        <v>2905</v>
      </c>
      <c r="X26" s="363">
        <f t="shared" si="3"/>
        <v>0</v>
      </c>
      <c r="Y26" s="363">
        <f t="shared" si="4"/>
        <v>0</v>
      </c>
      <c r="Z26" s="363">
        <f t="shared" si="12"/>
        <v>2905</v>
      </c>
      <c r="AE26" s="84"/>
      <c r="AF26" s="84"/>
      <c r="AG26" s="84"/>
      <c r="AH26" s="84"/>
      <c r="AI26" s="84"/>
      <c r="AJ26" s="84"/>
    </row>
    <row r="27" spans="1:36" ht="18" customHeight="1">
      <c r="A27" s="94">
        <v>21</v>
      </c>
      <c r="B27" s="89" t="s">
        <v>72</v>
      </c>
      <c r="C27" s="317">
        <v>0</v>
      </c>
      <c r="D27" s="317">
        <v>0</v>
      </c>
      <c r="E27" s="317">
        <v>0</v>
      </c>
      <c r="F27" s="90">
        <f t="shared" si="0"/>
        <v>0</v>
      </c>
      <c r="G27" s="317">
        <v>0</v>
      </c>
      <c r="H27" s="317">
        <v>0</v>
      </c>
      <c r="I27" s="317">
        <v>0</v>
      </c>
      <c r="J27" s="180">
        <f t="shared" si="5"/>
        <v>0</v>
      </c>
      <c r="K27" s="358">
        <v>0</v>
      </c>
      <c r="L27" s="358">
        <v>0</v>
      </c>
      <c r="M27" s="358">
        <v>0</v>
      </c>
      <c r="N27" s="123">
        <f t="shared" si="1"/>
        <v>0</v>
      </c>
      <c r="O27" s="358">
        <v>0</v>
      </c>
      <c r="P27" s="358">
        <v>0</v>
      </c>
      <c r="Q27" s="358">
        <v>0</v>
      </c>
      <c r="R27" s="90">
        <f>O27+P27+Q27</f>
        <v>0</v>
      </c>
      <c r="S27" s="364">
        <f t="shared" si="6"/>
        <v>0</v>
      </c>
      <c r="T27" s="364">
        <f t="shared" si="6"/>
        <v>0</v>
      </c>
      <c r="U27" s="364">
        <f t="shared" si="8"/>
        <v>0</v>
      </c>
      <c r="V27" s="364">
        <f t="shared" si="9"/>
        <v>0</v>
      </c>
      <c r="W27" s="364">
        <f>C27-O27</f>
        <v>0</v>
      </c>
      <c r="X27" s="364">
        <f t="shared" si="3"/>
        <v>0</v>
      </c>
      <c r="Y27" s="364">
        <f t="shared" si="4"/>
        <v>0</v>
      </c>
      <c r="Z27" s="364">
        <f t="shared" si="12"/>
        <v>0</v>
      </c>
      <c r="AE27" s="84"/>
      <c r="AF27" s="84"/>
      <c r="AG27" s="84"/>
      <c r="AH27" s="84"/>
      <c r="AI27" s="84"/>
      <c r="AJ27" s="84"/>
    </row>
    <row r="28" spans="1:36" ht="18" customHeight="1">
      <c r="A28" s="93">
        <v>22</v>
      </c>
      <c r="B28" s="95" t="s">
        <v>7</v>
      </c>
      <c r="C28" s="318">
        <v>0</v>
      </c>
      <c r="D28" s="240">
        <v>0</v>
      </c>
      <c r="E28" s="240">
        <v>0</v>
      </c>
      <c r="F28" s="83">
        <f t="shared" si="0"/>
        <v>0</v>
      </c>
      <c r="G28" s="240">
        <v>0</v>
      </c>
      <c r="H28" s="240">
        <v>0</v>
      </c>
      <c r="I28" s="240">
        <v>0</v>
      </c>
      <c r="J28" s="240">
        <f>SUM(G28:I28)</f>
        <v>0</v>
      </c>
      <c r="K28" s="123">
        <v>0</v>
      </c>
      <c r="L28" s="123">
        <v>0</v>
      </c>
      <c r="M28" s="123">
        <v>0</v>
      </c>
      <c r="N28" s="123">
        <f t="shared" si="1"/>
        <v>0</v>
      </c>
      <c r="O28" s="123">
        <v>0</v>
      </c>
      <c r="P28" s="123">
        <v>0</v>
      </c>
      <c r="Q28" s="123">
        <v>0</v>
      </c>
      <c r="R28" s="123">
        <f t="shared" si="11"/>
        <v>0</v>
      </c>
      <c r="S28" s="118">
        <f aca="true" t="shared" si="13" ref="S28:T32">K28-O28</f>
        <v>0</v>
      </c>
      <c r="T28" s="118">
        <f t="shared" si="13"/>
        <v>0</v>
      </c>
      <c r="U28" s="118">
        <f t="shared" si="8"/>
        <v>0</v>
      </c>
      <c r="V28" s="118">
        <f t="shared" si="9"/>
        <v>0</v>
      </c>
      <c r="W28" s="118">
        <f>C28-O28</f>
        <v>0</v>
      </c>
      <c r="X28" s="118">
        <f t="shared" si="3"/>
        <v>0</v>
      </c>
      <c r="Y28" s="118">
        <f t="shared" si="4"/>
        <v>0</v>
      </c>
      <c r="Z28" s="118">
        <f t="shared" si="12"/>
        <v>0</v>
      </c>
      <c r="AE28" s="84"/>
      <c r="AF28" s="84"/>
      <c r="AG28" s="84"/>
      <c r="AH28" s="84"/>
      <c r="AI28" s="84"/>
      <c r="AJ28" s="84"/>
    </row>
    <row r="29" spans="1:36" ht="18" customHeight="1">
      <c r="A29" s="91">
        <v>23</v>
      </c>
      <c r="B29" s="86" t="s">
        <v>8</v>
      </c>
      <c r="C29" s="318">
        <v>0</v>
      </c>
      <c r="D29" s="318">
        <v>0</v>
      </c>
      <c r="E29" s="318">
        <v>0</v>
      </c>
      <c r="F29" s="87">
        <f t="shared" si="0"/>
        <v>0</v>
      </c>
      <c r="G29" s="318">
        <v>0</v>
      </c>
      <c r="H29" s="318">
        <v>0</v>
      </c>
      <c r="I29" s="318">
        <v>0</v>
      </c>
      <c r="J29" s="318">
        <f>SUM(G29:I29)</f>
        <v>0</v>
      </c>
      <c r="K29" s="359">
        <v>0</v>
      </c>
      <c r="L29" s="359">
        <v>0</v>
      </c>
      <c r="M29" s="359">
        <v>0</v>
      </c>
      <c r="N29" s="123">
        <f t="shared" si="1"/>
        <v>0</v>
      </c>
      <c r="O29" s="359">
        <v>0</v>
      </c>
      <c r="P29" s="359">
        <v>0</v>
      </c>
      <c r="Q29" s="359">
        <v>0</v>
      </c>
      <c r="R29" s="87">
        <f t="shared" si="11"/>
        <v>0</v>
      </c>
      <c r="S29" s="363">
        <f t="shared" si="13"/>
        <v>0</v>
      </c>
      <c r="T29" s="363">
        <f t="shared" si="13"/>
        <v>0</v>
      </c>
      <c r="U29" s="363">
        <f t="shared" si="8"/>
        <v>0</v>
      </c>
      <c r="V29" s="363">
        <f t="shared" si="9"/>
        <v>0</v>
      </c>
      <c r="W29" s="363">
        <f>C29-O29</f>
        <v>0</v>
      </c>
      <c r="X29" s="363">
        <f t="shared" si="3"/>
        <v>0</v>
      </c>
      <c r="Y29" s="363">
        <f t="shared" si="4"/>
        <v>0</v>
      </c>
      <c r="Z29" s="363">
        <f t="shared" si="12"/>
        <v>0</v>
      </c>
      <c r="AE29" s="84"/>
      <c r="AF29" s="84"/>
      <c r="AG29" s="84"/>
      <c r="AH29" s="84"/>
      <c r="AI29" s="84"/>
      <c r="AJ29" s="84"/>
    </row>
    <row r="30" spans="1:36" ht="18" customHeight="1">
      <c r="A30" s="94">
        <v>24</v>
      </c>
      <c r="B30" s="89" t="s">
        <v>40</v>
      </c>
      <c r="C30" s="317">
        <v>954</v>
      </c>
      <c r="D30" s="317">
        <v>0</v>
      </c>
      <c r="E30" s="317">
        <v>0</v>
      </c>
      <c r="F30" s="90">
        <f t="shared" si="0"/>
        <v>954</v>
      </c>
      <c r="G30" s="317">
        <v>435</v>
      </c>
      <c r="H30" s="317">
        <v>0</v>
      </c>
      <c r="I30" s="317">
        <v>0</v>
      </c>
      <c r="J30" s="180">
        <f t="shared" si="5"/>
        <v>435</v>
      </c>
      <c r="K30" s="422">
        <v>272</v>
      </c>
      <c r="L30" s="422">
        <v>0</v>
      </c>
      <c r="M30" s="422">
        <v>0</v>
      </c>
      <c r="N30" s="123">
        <f t="shared" si="1"/>
        <v>272</v>
      </c>
      <c r="O30" s="422">
        <v>272</v>
      </c>
      <c r="P30" s="422">
        <v>0</v>
      </c>
      <c r="Q30" s="422">
        <v>0</v>
      </c>
      <c r="R30" s="90">
        <f t="shared" si="11"/>
        <v>272</v>
      </c>
      <c r="S30" s="364">
        <f t="shared" si="13"/>
        <v>0</v>
      </c>
      <c r="T30" s="364">
        <f t="shared" si="13"/>
        <v>0</v>
      </c>
      <c r="U30" s="364">
        <f t="shared" si="8"/>
        <v>0</v>
      </c>
      <c r="V30" s="364">
        <f t="shared" si="9"/>
        <v>0</v>
      </c>
      <c r="W30" s="364">
        <f t="shared" si="2"/>
        <v>682</v>
      </c>
      <c r="X30" s="364">
        <f t="shared" si="3"/>
        <v>0</v>
      </c>
      <c r="Y30" s="364">
        <f t="shared" si="4"/>
        <v>0</v>
      </c>
      <c r="Z30" s="364">
        <f t="shared" si="12"/>
        <v>682</v>
      </c>
      <c r="AE30" s="84"/>
      <c r="AF30" s="84"/>
      <c r="AG30" s="84"/>
      <c r="AH30" s="84"/>
      <c r="AI30" s="84"/>
      <c r="AJ30" s="84"/>
    </row>
    <row r="31" spans="1:36" ht="18" customHeight="1">
      <c r="A31" s="93">
        <v>25</v>
      </c>
      <c r="B31" s="95" t="s">
        <v>9</v>
      </c>
      <c r="C31" s="240">
        <v>572</v>
      </c>
      <c r="D31" s="240">
        <v>0</v>
      </c>
      <c r="E31" s="240">
        <v>0</v>
      </c>
      <c r="F31" s="83">
        <f t="shared" si="0"/>
        <v>572</v>
      </c>
      <c r="G31" s="240">
        <v>221</v>
      </c>
      <c r="H31" s="240">
        <v>0</v>
      </c>
      <c r="I31" s="240">
        <v>0</v>
      </c>
      <c r="J31" s="178">
        <f t="shared" si="5"/>
        <v>221</v>
      </c>
      <c r="K31" s="123">
        <v>0</v>
      </c>
      <c r="L31" s="123">
        <v>0</v>
      </c>
      <c r="M31" s="123">
        <v>0</v>
      </c>
      <c r="N31" s="123">
        <f t="shared" si="1"/>
        <v>0</v>
      </c>
      <c r="O31" s="123">
        <v>0</v>
      </c>
      <c r="P31" s="123">
        <v>0</v>
      </c>
      <c r="Q31" s="123">
        <v>0</v>
      </c>
      <c r="R31" s="123">
        <f t="shared" si="11"/>
        <v>0</v>
      </c>
      <c r="S31" s="118">
        <f t="shared" si="13"/>
        <v>0</v>
      </c>
      <c r="T31" s="118">
        <f t="shared" si="13"/>
        <v>0</v>
      </c>
      <c r="U31" s="118">
        <f t="shared" si="8"/>
        <v>0</v>
      </c>
      <c r="V31" s="118">
        <f t="shared" si="9"/>
        <v>0</v>
      </c>
      <c r="W31" s="118">
        <f t="shared" si="2"/>
        <v>572</v>
      </c>
      <c r="X31" s="118">
        <f t="shared" si="3"/>
        <v>0</v>
      </c>
      <c r="Y31" s="118">
        <f t="shared" si="4"/>
        <v>0</v>
      </c>
      <c r="Z31" s="118">
        <f t="shared" si="12"/>
        <v>572</v>
      </c>
      <c r="AE31" s="84"/>
      <c r="AF31" s="84"/>
      <c r="AG31" s="84"/>
      <c r="AH31" s="84"/>
      <c r="AI31" s="84"/>
      <c r="AJ31" s="84"/>
    </row>
    <row r="32" spans="1:36" ht="18" customHeight="1">
      <c r="A32" s="94">
        <v>26</v>
      </c>
      <c r="B32" s="96" t="s">
        <v>10</v>
      </c>
      <c r="C32" s="317">
        <v>0</v>
      </c>
      <c r="D32" s="317">
        <v>0</v>
      </c>
      <c r="E32" s="317">
        <v>0</v>
      </c>
      <c r="F32" s="87">
        <f t="shared" si="0"/>
        <v>0</v>
      </c>
      <c r="G32" s="317">
        <v>0</v>
      </c>
      <c r="H32" s="317">
        <v>0</v>
      </c>
      <c r="I32" s="317">
        <v>0</v>
      </c>
      <c r="J32" s="179">
        <f t="shared" si="5"/>
        <v>0</v>
      </c>
      <c r="K32" s="359">
        <v>0</v>
      </c>
      <c r="L32" s="359">
        <v>0</v>
      </c>
      <c r="M32" s="359">
        <v>0</v>
      </c>
      <c r="N32" s="123">
        <f t="shared" si="1"/>
        <v>0</v>
      </c>
      <c r="O32" s="359">
        <v>0</v>
      </c>
      <c r="P32" s="359">
        <v>0</v>
      </c>
      <c r="Q32" s="359">
        <v>0</v>
      </c>
      <c r="R32" s="90">
        <f t="shared" si="11"/>
        <v>0</v>
      </c>
      <c r="S32" s="364">
        <f t="shared" si="13"/>
        <v>0</v>
      </c>
      <c r="T32" s="364">
        <f t="shared" si="13"/>
        <v>0</v>
      </c>
      <c r="U32" s="364">
        <f t="shared" si="8"/>
        <v>0</v>
      </c>
      <c r="V32" s="364">
        <f t="shared" si="9"/>
        <v>0</v>
      </c>
      <c r="W32" s="364">
        <f t="shared" si="2"/>
        <v>0</v>
      </c>
      <c r="X32" s="364">
        <f t="shared" si="3"/>
        <v>0</v>
      </c>
      <c r="Y32" s="364">
        <f t="shared" si="4"/>
        <v>0</v>
      </c>
      <c r="Z32" s="364">
        <f t="shared" si="12"/>
        <v>0</v>
      </c>
      <c r="AE32" s="84"/>
      <c r="AF32" s="84"/>
      <c r="AG32" s="84"/>
      <c r="AH32" s="84"/>
      <c r="AI32" s="84"/>
      <c r="AJ32" s="84"/>
    </row>
    <row r="33" spans="1:36" s="73" customFormat="1" ht="18" customHeight="1">
      <c r="A33" s="97"/>
      <c r="B33" s="97" t="s">
        <v>11</v>
      </c>
      <c r="C33" s="98">
        <f aca="true" t="shared" si="14" ref="C33:Z33">SUM(C7:C32)</f>
        <v>48759</v>
      </c>
      <c r="D33" s="98">
        <f t="shared" si="14"/>
        <v>1112</v>
      </c>
      <c r="E33" s="98">
        <f t="shared" si="14"/>
        <v>0</v>
      </c>
      <c r="F33" s="98">
        <f t="shared" si="14"/>
        <v>49871</v>
      </c>
      <c r="G33" s="98">
        <f>SUM(G7:G32)</f>
        <v>32157</v>
      </c>
      <c r="H33" s="167">
        <f>SUM(H7:H32)</f>
        <v>24</v>
      </c>
      <c r="I33" s="98">
        <f>SUM(I7:I32)</f>
        <v>0</v>
      </c>
      <c r="J33" s="98">
        <f>SUM(J7:J32)</f>
        <v>32181</v>
      </c>
      <c r="K33" s="98">
        <f t="shared" si="14"/>
        <v>11879</v>
      </c>
      <c r="L33" s="98">
        <f t="shared" si="14"/>
        <v>0</v>
      </c>
      <c r="M33" s="98">
        <f t="shared" si="14"/>
        <v>0</v>
      </c>
      <c r="N33" s="98">
        <f t="shared" si="14"/>
        <v>11879</v>
      </c>
      <c r="O33" s="98">
        <f t="shared" si="14"/>
        <v>11741</v>
      </c>
      <c r="P33" s="98">
        <f t="shared" si="14"/>
        <v>0</v>
      </c>
      <c r="Q33" s="98">
        <f t="shared" si="14"/>
        <v>0</v>
      </c>
      <c r="R33" s="98">
        <f t="shared" si="14"/>
        <v>11741</v>
      </c>
      <c r="S33" s="98">
        <f t="shared" si="14"/>
        <v>138</v>
      </c>
      <c r="T33" s="98">
        <f t="shared" si="14"/>
        <v>0</v>
      </c>
      <c r="U33" s="98">
        <f t="shared" si="14"/>
        <v>0</v>
      </c>
      <c r="V33" s="98">
        <f t="shared" si="14"/>
        <v>138</v>
      </c>
      <c r="W33" s="98">
        <f t="shared" si="14"/>
        <v>37018</v>
      </c>
      <c r="X33" s="98">
        <f t="shared" si="14"/>
        <v>1112</v>
      </c>
      <c r="Y33" s="98">
        <f t="shared" si="14"/>
        <v>0</v>
      </c>
      <c r="Z33" s="98">
        <f t="shared" si="14"/>
        <v>38130</v>
      </c>
      <c r="AE33" s="99"/>
      <c r="AF33" s="99"/>
      <c r="AG33" s="99"/>
      <c r="AH33" s="122"/>
      <c r="AI33" s="122"/>
      <c r="AJ33" s="122"/>
    </row>
    <row r="34" spans="1:34" s="73" customFormat="1" ht="18" customHeight="1">
      <c r="A34" s="100"/>
      <c r="B34" s="74" t="s">
        <v>29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83"/>
      <c r="O34" s="101"/>
      <c r="P34" s="101"/>
      <c r="Q34" s="101"/>
      <c r="R34" s="101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</row>
    <row r="35" spans="1:18" ht="9" customHeight="1">
      <c r="A35" s="102"/>
      <c r="B35" s="102"/>
      <c r="C35" s="74"/>
      <c r="D35" s="74"/>
      <c r="E35" s="103"/>
      <c r="F35" s="103"/>
      <c r="G35" s="103"/>
      <c r="H35" s="103"/>
      <c r="I35" s="103"/>
      <c r="J35" s="103"/>
      <c r="K35" s="104"/>
      <c r="L35" s="105"/>
      <c r="M35" s="76"/>
      <c r="N35" s="76"/>
      <c r="O35" s="76"/>
      <c r="P35" s="76"/>
      <c r="Q35" s="76"/>
      <c r="R35" s="76"/>
    </row>
    <row r="36" spans="1:25" ht="18" customHeight="1">
      <c r="A36" s="103"/>
      <c r="B36" s="103" t="s">
        <v>30</v>
      </c>
      <c r="C36" s="106"/>
      <c r="D36" s="106"/>
      <c r="E36" s="107"/>
      <c r="F36" s="107"/>
      <c r="G36" s="419"/>
      <c r="H36" s="107"/>
      <c r="I36" s="107"/>
      <c r="J36" s="107"/>
      <c r="K36" s="104"/>
      <c r="L36" s="105"/>
      <c r="M36" s="76"/>
      <c r="N36" s="76"/>
      <c r="O36" s="424"/>
      <c r="P36" s="76"/>
      <c r="R36" s="76"/>
      <c r="S36" s="108"/>
      <c r="T36" s="108"/>
      <c r="U36" s="108"/>
      <c r="V36" s="108"/>
      <c r="W36" s="108"/>
      <c r="X36" s="108"/>
      <c r="Y36" s="108"/>
    </row>
    <row r="37" spans="1:25" ht="18" customHeight="1">
      <c r="A37" s="103"/>
      <c r="B37" s="103" t="s">
        <v>15</v>
      </c>
      <c r="C37" s="109"/>
      <c r="D37" s="109"/>
      <c r="E37" s="109"/>
      <c r="F37" s="109"/>
      <c r="G37" s="109"/>
      <c r="H37" s="109"/>
      <c r="I37" s="109"/>
      <c r="J37" s="109"/>
      <c r="M37" s="76"/>
      <c r="N37" s="76"/>
      <c r="O37" s="76"/>
      <c r="P37" s="76"/>
      <c r="R37" s="76"/>
      <c r="S37" s="108"/>
      <c r="T37" s="108"/>
      <c r="U37" s="108"/>
      <c r="V37" s="108"/>
      <c r="W37" s="108"/>
      <c r="X37" s="108"/>
      <c r="Y37" s="108"/>
    </row>
    <row r="38" spans="1:25" ht="18" customHeight="1">
      <c r="A38" s="110"/>
      <c r="B38" s="110" t="s">
        <v>58</v>
      </c>
      <c r="C38" s="107"/>
      <c r="D38" s="107"/>
      <c r="E38" s="109"/>
      <c r="F38" s="109"/>
      <c r="G38" s="109"/>
      <c r="H38" s="109"/>
      <c r="I38" s="109"/>
      <c r="J38" s="109"/>
      <c r="M38" s="76"/>
      <c r="N38" s="76"/>
      <c r="O38" s="76"/>
      <c r="P38" s="76"/>
      <c r="Q38" s="76"/>
      <c r="R38" s="76"/>
      <c r="S38" s="108"/>
      <c r="T38" s="108"/>
      <c r="U38" s="108"/>
      <c r="V38" s="108"/>
      <c r="W38" s="108"/>
      <c r="X38" s="108"/>
      <c r="Y38" s="108"/>
    </row>
    <row r="39" spans="1:25" ht="18" customHeight="1">
      <c r="A39" s="110"/>
      <c r="B39" s="110" t="s">
        <v>59</v>
      </c>
      <c r="C39" s="109"/>
      <c r="D39" s="109"/>
      <c r="E39" s="109"/>
      <c r="F39" s="109"/>
      <c r="G39" s="109"/>
      <c r="H39" s="109"/>
      <c r="I39" s="109"/>
      <c r="J39" s="109"/>
      <c r="M39" s="76"/>
      <c r="N39" s="76"/>
      <c r="O39" s="76"/>
      <c r="P39" s="76"/>
      <c r="Q39" s="76"/>
      <c r="R39" s="76"/>
      <c r="S39" s="108"/>
      <c r="T39" s="108"/>
      <c r="U39" s="108"/>
      <c r="V39" s="108"/>
      <c r="W39" s="108"/>
      <c r="X39" s="108"/>
      <c r="Y39" s="108"/>
    </row>
    <row r="40" spans="1:25" ht="18" customHeight="1">
      <c r="A40" s="103"/>
      <c r="B40" s="103" t="s">
        <v>80</v>
      </c>
      <c r="C40" s="109"/>
      <c r="D40" s="109"/>
      <c r="E40" s="109"/>
      <c r="F40" s="109"/>
      <c r="G40" s="109"/>
      <c r="H40" s="109"/>
      <c r="I40" s="109"/>
      <c r="J40" s="109"/>
      <c r="M40" s="76"/>
      <c r="N40" s="76"/>
      <c r="O40" s="76"/>
      <c r="P40" s="76"/>
      <c r="Q40" s="76"/>
      <c r="R40" s="76"/>
      <c r="S40" s="108"/>
      <c r="T40" s="108"/>
      <c r="U40" s="108"/>
      <c r="V40" s="108"/>
      <c r="W40" s="108"/>
      <c r="X40" s="108"/>
      <c r="Y40" s="108"/>
    </row>
    <row r="41" spans="1:25" ht="19.5" customHeight="1">
      <c r="A41" s="76"/>
      <c r="B41" s="76"/>
      <c r="M41" s="71"/>
      <c r="N41" s="71"/>
      <c r="O41" s="78"/>
      <c r="P41" s="78"/>
      <c r="Q41" s="76"/>
      <c r="R41" s="76"/>
      <c r="S41" s="108"/>
      <c r="T41" s="108"/>
      <c r="U41" s="108"/>
      <c r="V41" s="108"/>
      <c r="W41" s="108"/>
      <c r="X41" s="108"/>
      <c r="Y41" s="108"/>
    </row>
    <row r="42" spans="1:25" ht="15">
      <c r="A42" s="76"/>
      <c r="B42" s="76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08"/>
      <c r="T42" s="108"/>
      <c r="U42" s="108"/>
      <c r="V42" s="108"/>
      <c r="W42" s="108"/>
      <c r="X42" s="108"/>
      <c r="Y42" s="108"/>
    </row>
    <row r="43" spans="1:25" ht="15.75">
      <c r="A43" s="76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6"/>
      <c r="P43" s="76"/>
      <c r="Q43" s="76"/>
      <c r="R43" s="76"/>
      <c r="S43" s="108"/>
      <c r="T43" s="108"/>
      <c r="U43" s="108"/>
      <c r="V43" s="108"/>
      <c r="W43" s="108"/>
      <c r="X43" s="108"/>
      <c r="Y43" s="108"/>
    </row>
    <row r="44" spans="1:25" ht="15.75">
      <c r="A44" s="76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6"/>
      <c r="P44" s="76"/>
      <c r="Q44" s="76"/>
      <c r="R44" s="76"/>
      <c r="S44" s="108"/>
      <c r="T44" s="108"/>
      <c r="U44" s="108"/>
      <c r="V44" s="108"/>
      <c r="W44" s="108"/>
      <c r="X44" s="108"/>
      <c r="Y44" s="108"/>
    </row>
    <row r="45" spans="1:25" ht="15.75">
      <c r="A45" s="505"/>
      <c r="B45" s="505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5"/>
      <c r="P45" s="75"/>
      <c r="Q45" s="76"/>
      <c r="R45" s="76"/>
      <c r="S45" s="108"/>
      <c r="T45" s="108"/>
      <c r="U45" s="108"/>
      <c r="V45" s="108"/>
      <c r="W45" s="108"/>
      <c r="X45" s="108"/>
      <c r="Y45" s="108"/>
    </row>
    <row r="46" spans="15:25" ht="15" customHeight="1">
      <c r="O46" s="112"/>
      <c r="P46" s="112"/>
      <c r="S46" s="108"/>
      <c r="T46" s="108"/>
      <c r="U46" s="108"/>
      <c r="V46" s="108"/>
      <c r="W46" s="108"/>
      <c r="X46" s="108"/>
      <c r="Y46" s="108"/>
    </row>
    <row r="47" spans="3:25" ht="15" customHeight="1">
      <c r="C47" s="92"/>
      <c r="D47" s="92"/>
      <c r="O47" s="112"/>
      <c r="P47" s="112"/>
      <c r="S47" s="108"/>
      <c r="T47" s="108"/>
      <c r="U47" s="108"/>
      <c r="V47" s="108"/>
      <c r="W47" s="108"/>
      <c r="X47" s="108"/>
      <c r="Y47" s="108"/>
    </row>
    <row r="48" spans="3:25" ht="15" customHeight="1">
      <c r="C48" s="92"/>
      <c r="D48" s="92"/>
      <c r="O48" s="112"/>
      <c r="P48" s="112"/>
      <c r="S48" s="108"/>
      <c r="T48" s="108"/>
      <c r="U48" s="108"/>
      <c r="V48" s="108"/>
      <c r="W48" s="108"/>
      <c r="X48" s="108"/>
      <c r="Y48" s="108"/>
    </row>
    <row r="49" spans="3:25" ht="15" customHeight="1">
      <c r="C49" s="92"/>
      <c r="D49" s="92"/>
      <c r="S49" s="108"/>
      <c r="T49" s="108"/>
      <c r="U49" s="108"/>
      <c r="V49" s="108"/>
      <c r="W49" s="108"/>
      <c r="X49" s="108"/>
      <c r="Y49" s="108"/>
    </row>
    <row r="50" spans="3:25" ht="15" customHeight="1">
      <c r="C50" s="92"/>
      <c r="D50" s="92"/>
      <c r="S50" s="108"/>
      <c r="T50" s="108"/>
      <c r="U50" s="108"/>
      <c r="V50" s="108"/>
      <c r="W50" s="108"/>
      <c r="X50" s="108"/>
      <c r="Y50" s="108"/>
    </row>
    <row r="51" spans="2:25" ht="18">
      <c r="B51" s="113"/>
      <c r="C51" s="114"/>
      <c r="D51" s="92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08"/>
      <c r="T51" s="108"/>
      <c r="U51" s="108"/>
      <c r="V51" s="108"/>
      <c r="W51" s="108"/>
      <c r="X51" s="108"/>
      <c r="Y51" s="108"/>
    </row>
    <row r="52" spans="2:25" ht="18">
      <c r="B52" s="113"/>
      <c r="C52" s="114"/>
      <c r="D52" s="92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08"/>
      <c r="T52" s="108"/>
      <c r="U52" s="108"/>
      <c r="V52" s="108"/>
      <c r="W52" s="108"/>
      <c r="X52" s="108"/>
      <c r="Y52" s="108"/>
    </row>
    <row r="53" spans="2:25" ht="18">
      <c r="B53" s="113"/>
      <c r="C53" s="114"/>
      <c r="D53" s="92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5"/>
      <c r="P53" s="115"/>
      <c r="Q53" s="115"/>
      <c r="R53" s="115"/>
      <c r="S53" s="108"/>
      <c r="T53" s="108"/>
      <c r="U53" s="108"/>
      <c r="V53" s="108"/>
      <c r="W53" s="108"/>
      <c r="X53" s="108"/>
      <c r="Y53" s="108"/>
    </row>
    <row r="54" spans="2:25" ht="18">
      <c r="B54" s="113"/>
      <c r="C54" s="114"/>
      <c r="D54" s="9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5"/>
      <c r="P54" s="115"/>
      <c r="Q54" s="115"/>
      <c r="R54" s="115"/>
      <c r="S54" s="108"/>
      <c r="T54" s="108"/>
      <c r="U54" s="108"/>
      <c r="V54" s="108"/>
      <c r="W54" s="108"/>
      <c r="X54" s="108"/>
      <c r="Y54" s="108"/>
    </row>
    <row r="55" spans="2:25" ht="18">
      <c r="B55" s="113"/>
      <c r="C55" s="114"/>
      <c r="D55" s="92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6"/>
      <c r="P55" s="116"/>
      <c r="Q55" s="116"/>
      <c r="R55" s="116"/>
      <c r="S55" s="108"/>
      <c r="T55" s="108"/>
      <c r="U55" s="108"/>
      <c r="V55" s="108"/>
      <c r="W55" s="108"/>
      <c r="X55" s="108"/>
      <c r="Y55" s="108"/>
    </row>
    <row r="56" spans="2:25" ht="18">
      <c r="B56" s="113"/>
      <c r="C56" s="114"/>
      <c r="D56" s="92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5"/>
      <c r="P56" s="115"/>
      <c r="Q56" s="115"/>
      <c r="R56" s="115"/>
      <c r="S56" s="108"/>
      <c r="T56" s="108"/>
      <c r="U56" s="108"/>
      <c r="V56" s="108"/>
      <c r="W56" s="108"/>
      <c r="X56" s="108"/>
      <c r="Y56" s="108"/>
    </row>
    <row r="57" spans="2:25" ht="18">
      <c r="B57" s="113"/>
      <c r="C57" s="114"/>
      <c r="D57" s="92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6"/>
      <c r="P57" s="116"/>
      <c r="Q57" s="116"/>
      <c r="R57" s="116"/>
      <c r="S57" s="108"/>
      <c r="T57" s="108"/>
      <c r="U57" s="108"/>
      <c r="V57" s="108"/>
      <c r="W57" s="108"/>
      <c r="X57" s="108"/>
      <c r="Y57" s="108"/>
    </row>
    <row r="58" spans="3:25" ht="15">
      <c r="C58" s="92"/>
      <c r="D58" s="92"/>
      <c r="S58" s="108"/>
      <c r="T58" s="108"/>
      <c r="U58" s="108"/>
      <c r="V58" s="108"/>
      <c r="W58" s="108"/>
      <c r="X58" s="108"/>
      <c r="Y58" s="108"/>
    </row>
    <row r="59" spans="3:25" ht="15">
      <c r="C59" s="92"/>
      <c r="D59" s="92"/>
      <c r="S59" s="108"/>
      <c r="T59" s="108"/>
      <c r="U59" s="108"/>
      <c r="V59" s="108"/>
      <c r="W59" s="108"/>
      <c r="X59" s="108"/>
      <c r="Y59" s="108"/>
    </row>
    <row r="60" spans="3:25" ht="15">
      <c r="C60" s="92"/>
      <c r="D60" s="92"/>
      <c r="S60" s="108"/>
      <c r="T60" s="108"/>
      <c r="U60" s="108"/>
      <c r="V60" s="108"/>
      <c r="W60" s="108"/>
      <c r="X60" s="108"/>
      <c r="Y60" s="108"/>
    </row>
    <row r="61" spans="3:25" ht="15">
      <c r="C61" s="92"/>
      <c r="D61" s="92"/>
      <c r="S61" s="108"/>
      <c r="T61" s="108"/>
      <c r="U61" s="108"/>
      <c r="V61" s="108"/>
      <c r="W61" s="108"/>
      <c r="X61" s="108"/>
      <c r="Y61" s="108"/>
    </row>
    <row r="62" spans="3:25" ht="15">
      <c r="C62" s="92"/>
      <c r="D62" s="92"/>
      <c r="S62" s="108"/>
      <c r="T62" s="108"/>
      <c r="U62" s="108"/>
      <c r="V62" s="108"/>
      <c r="W62" s="108"/>
      <c r="X62" s="108"/>
      <c r="Y62" s="108"/>
    </row>
    <row r="63" spans="3:25" ht="15">
      <c r="C63" s="92"/>
      <c r="D63" s="92"/>
      <c r="S63" s="108"/>
      <c r="T63" s="108"/>
      <c r="U63" s="108"/>
      <c r="V63" s="108"/>
      <c r="W63" s="108"/>
      <c r="X63" s="108"/>
      <c r="Y63" s="108"/>
    </row>
    <row r="64" spans="3:25" ht="15">
      <c r="C64" s="92"/>
      <c r="D64" s="92"/>
      <c r="S64" s="108"/>
      <c r="T64" s="108"/>
      <c r="U64" s="108"/>
      <c r="V64" s="108"/>
      <c r="W64" s="108"/>
      <c r="X64" s="108"/>
      <c r="Y64" s="108"/>
    </row>
    <row r="65" spans="3:25" ht="15">
      <c r="C65" s="92"/>
      <c r="D65" s="92"/>
      <c r="S65" s="108"/>
      <c r="T65" s="108"/>
      <c r="U65" s="108"/>
      <c r="V65" s="108"/>
      <c r="W65" s="108"/>
      <c r="X65" s="108"/>
      <c r="Y65" s="108"/>
    </row>
    <row r="66" spans="3:25" ht="15">
      <c r="C66" s="92"/>
      <c r="D66" s="92"/>
      <c r="S66" s="117"/>
      <c r="T66" s="117"/>
      <c r="U66" s="117"/>
      <c r="V66" s="117"/>
      <c r="W66" s="117"/>
      <c r="X66" s="117"/>
      <c r="Y66" s="117"/>
    </row>
    <row r="67" spans="3:25" ht="15">
      <c r="C67" s="92"/>
      <c r="D67" s="92"/>
      <c r="S67" s="117"/>
      <c r="T67" s="117"/>
      <c r="U67" s="117"/>
      <c r="V67" s="117"/>
      <c r="W67" s="117"/>
      <c r="X67" s="117"/>
      <c r="Y67" s="117"/>
    </row>
    <row r="68" spans="3:25" ht="15">
      <c r="C68" s="92"/>
      <c r="D68" s="92"/>
      <c r="S68" s="117"/>
      <c r="T68" s="117"/>
      <c r="U68" s="117"/>
      <c r="V68" s="117"/>
      <c r="W68" s="117"/>
      <c r="X68" s="117"/>
      <c r="Y68" s="117"/>
    </row>
    <row r="69" spans="3:25" ht="15">
      <c r="C69" s="92"/>
      <c r="D69" s="92"/>
      <c r="S69" s="117"/>
      <c r="T69" s="117"/>
      <c r="U69" s="117"/>
      <c r="V69" s="117"/>
      <c r="W69" s="117"/>
      <c r="X69" s="117"/>
      <c r="Y69" s="117"/>
    </row>
    <row r="70" spans="3:4" ht="15">
      <c r="C70" s="92"/>
      <c r="D70" s="92"/>
    </row>
    <row r="71" spans="3:4" ht="15">
      <c r="C71" s="92"/>
      <c r="D71" s="92"/>
    </row>
    <row r="72" spans="3:4" ht="15">
      <c r="C72" s="92"/>
      <c r="D72" s="92"/>
    </row>
  </sheetData>
  <sheetProtection/>
  <mergeCells count="27">
    <mergeCell ref="A45:B45"/>
    <mergeCell ref="A4:A6"/>
    <mergeCell ref="B4:B6"/>
    <mergeCell ref="D5:D6"/>
    <mergeCell ref="C4:F4"/>
    <mergeCell ref="F5:F6"/>
    <mergeCell ref="C5:C6"/>
    <mergeCell ref="E5:E6"/>
    <mergeCell ref="AH4:AJ5"/>
    <mergeCell ref="Q5:Q6"/>
    <mergeCell ref="R5:R6"/>
    <mergeCell ref="P5:P6"/>
    <mergeCell ref="W5:Z5"/>
    <mergeCell ref="S4:Z4"/>
    <mergeCell ref="S5:V5"/>
    <mergeCell ref="O4:R4"/>
    <mergeCell ref="O5:O6"/>
    <mergeCell ref="G5:G6"/>
    <mergeCell ref="I5:I6"/>
    <mergeCell ref="N5:N6"/>
    <mergeCell ref="L5:L6"/>
    <mergeCell ref="K5:K6"/>
    <mergeCell ref="M5:M6"/>
    <mergeCell ref="H5:H6"/>
    <mergeCell ref="K4:N4"/>
    <mergeCell ref="J5:J6"/>
    <mergeCell ref="G4:J4"/>
  </mergeCells>
  <conditionalFormatting sqref="O7:O8">
    <cfRule type="expression" priority="125" dxfId="3" stopIfTrue="1">
      <formula>LARGE(($O$7:$O$32),MIN(5,COUNT($O$7:$O$32)))&lt;=O7</formula>
    </cfRule>
  </conditionalFormatting>
  <conditionalFormatting sqref="P7:P8">
    <cfRule type="expression" priority="126" dxfId="3" stopIfTrue="1">
      <formula>LARGE(($P$7:$P$32),MIN(5,COUNT($P$7:$P$32)))&lt;=P7</formula>
    </cfRule>
  </conditionalFormatting>
  <conditionalFormatting sqref="O13:O14 O29 O32 O22:O24 O16 K7:K32">
    <cfRule type="expression" priority="132" dxfId="1" stopIfTrue="1">
      <formula>LARGE(($K$7:$K$32),MIN(10,COUNT($K$7:$K$32)))&lt;=K7</formula>
    </cfRule>
    <cfRule type="expression" priority="133" dxfId="261" stopIfTrue="1">
      <formula>LARGE(($K$7:$K$32),MIN(10,COUNT($K$7:$K$32)))&lt;=K7</formula>
    </cfRule>
    <cfRule type="expression" priority="134" dxfId="3" stopIfTrue="1">
      <formula>LARGE(($K$7:$K$32),MIN(5,COUNT($K$7:$K$32)))&lt;=K7</formula>
    </cfRule>
  </conditionalFormatting>
  <conditionalFormatting sqref="P9 P13:P14 P22:P23 P29 P32 L7:L32">
    <cfRule type="expression" priority="135" dxfId="1" stopIfTrue="1">
      <formula>LARGE(($L$7:$L$32),MIN(10,COUNT($L$7:$L$32)))&lt;=L7</formula>
    </cfRule>
    <cfRule type="expression" priority="136" dxfId="3" stopIfTrue="1">
      <formula>LARGE(($L$7:$L$32),MIN(5,COUNT($L$7:$L$32)))&lt;=L7</formula>
    </cfRule>
  </conditionalFormatting>
  <conditionalFormatting sqref="C7:C32">
    <cfRule type="expression" priority="137" dxfId="3" stopIfTrue="1">
      <formula>LARGE(($C$7:$C$32),MIN(5,COUNT($C$7:$C$32)))&lt;=C7</formula>
    </cfRule>
  </conditionalFormatting>
  <conditionalFormatting sqref="D7:D32">
    <cfRule type="expression" priority="138" dxfId="3" stopIfTrue="1">
      <formula>LARGE(($D$7:$D$32),MIN(5,COUNT($D$7:$D$32)))&lt;=D7</formula>
    </cfRule>
  </conditionalFormatting>
  <conditionalFormatting sqref="G7:G32">
    <cfRule type="top10" priority="79" dxfId="0" stopIfTrue="1" rank="5"/>
  </conditionalFormatting>
  <conditionalFormatting sqref="G7:G32">
    <cfRule type="expression" priority="77" dxfId="3" stopIfTrue="1">
      <formula>LARGE(($C$7:$C$32),MIN(5,COUNT($C$7:$C$32)))&lt;=G7</formula>
    </cfRule>
  </conditionalFormatting>
  <conditionalFormatting sqref="H7:H32">
    <cfRule type="expression" priority="76" dxfId="3" stopIfTrue="1">
      <formula>LARGE(($D$7:$D$32),MIN(5,COUNT($D$7:$D$32)))&lt;=H7</formula>
    </cfRule>
  </conditionalFormatting>
  <conditionalFormatting sqref="C7:C32">
    <cfRule type="top10" priority="74" dxfId="0" stopIfTrue="1" rank="5"/>
  </conditionalFormatting>
  <conditionalFormatting sqref="C7:C32">
    <cfRule type="expression" priority="73" dxfId="3" stopIfTrue="1">
      <formula>LARGE(($C$7:$C$32),MIN(5,COUNT($C$7:$C$32)))&lt;=C7</formula>
    </cfRule>
  </conditionalFormatting>
  <conditionalFormatting sqref="D7:D32">
    <cfRule type="expression" priority="72" dxfId="3" stopIfTrue="1">
      <formula>LARGE(($D$7:$D$32),MIN(5,COUNT($D$7:$D$32)))&lt;=D7</formula>
    </cfRule>
  </conditionalFormatting>
  <conditionalFormatting sqref="K7:K8">
    <cfRule type="expression" priority="70" dxfId="3" stopIfTrue="1">
      <formula>LARGE(($O$7:$O$32),MIN(5,COUNT($O$7:$O$32)))&lt;=K7</formula>
    </cfRule>
  </conditionalFormatting>
  <conditionalFormatting sqref="L7:L8">
    <cfRule type="expression" priority="69" dxfId="3" stopIfTrue="1">
      <formula>LARGE(($P$7:$P$32),MIN(5,COUNT($P$7:$P$32)))&lt;=L7</formula>
    </cfRule>
  </conditionalFormatting>
  <conditionalFormatting sqref="K13:K14 K29 K32 K22:K24 K16">
    <cfRule type="expression" priority="66" dxfId="1" stopIfTrue="1">
      <formula>LARGE(($K$7:$K$32),MIN(10,COUNT($K$7:$K$32)))&lt;=K13</formula>
    </cfRule>
    <cfRule type="expression" priority="67" dxfId="261" stopIfTrue="1">
      <formula>LARGE(($K$7:$K$32),MIN(10,COUNT($K$7:$K$32)))&lt;=K13</formula>
    </cfRule>
    <cfRule type="expression" priority="68" dxfId="3" stopIfTrue="1">
      <formula>LARGE(($K$7:$K$32),MIN(5,COUNT($K$7:$K$32)))&lt;=K13</formula>
    </cfRule>
  </conditionalFormatting>
  <conditionalFormatting sqref="L9 L13:L14 L22:L23 L29 L32">
    <cfRule type="expression" priority="64" dxfId="1" stopIfTrue="1">
      <formula>LARGE(($L$7:$L$32),MIN(10,COUNT($L$7:$L$32)))&lt;=L9</formula>
    </cfRule>
    <cfRule type="expression" priority="65" dxfId="3" stopIfTrue="1">
      <formula>LARGE(($L$7:$L$32),MIN(5,COUNT($L$7:$L$32)))&lt;=L9</formula>
    </cfRule>
  </conditionalFormatting>
  <conditionalFormatting sqref="K7:K8">
    <cfRule type="expression" priority="63" dxfId="3" stopIfTrue="1">
      <formula>LARGE(($O$7:$O$32),MIN(5,COUNT($O$7:$O$32)))&lt;=K7</formula>
    </cfRule>
  </conditionalFormatting>
  <conditionalFormatting sqref="L7:L8">
    <cfRule type="expression" priority="62" dxfId="3" stopIfTrue="1">
      <formula>LARGE(($P$7:$P$32),MIN(5,COUNT($P$7:$P$32)))&lt;=L7</formula>
    </cfRule>
  </conditionalFormatting>
  <conditionalFormatting sqref="K13:K14 K29 K32 K22:K24 K16">
    <cfRule type="expression" priority="59" dxfId="1" stopIfTrue="1">
      <formula>LARGE(($K$7:$K$32),MIN(10,COUNT($K$7:$K$32)))&lt;=K13</formula>
    </cfRule>
    <cfRule type="expression" priority="60" dxfId="261" stopIfTrue="1">
      <formula>LARGE(($K$7:$K$32),MIN(10,COUNT($K$7:$K$32)))&lt;=K13</formula>
    </cfRule>
    <cfRule type="expression" priority="61" dxfId="3" stopIfTrue="1">
      <formula>LARGE(($K$7:$K$32),MIN(5,COUNT($K$7:$K$32)))&lt;=K13</formula>
    </cfRule>
  </conditionalFormatting>
  <conditionalFormatting sqref="L9 L13:L14 L22:L23 L29 L32">
    <cfRule type="expression" priority="57" dxfId="1" stopIfTrue="1">
      <formula>LARGE(($L$7:$L$32),MIN(10,COUNT($L$7:$L$32)))&lt;=L9</formula>
    </cfRule>
    <cfRule type="expression" priority="58" dxfId="3" stopIfTrue="1">
      <formula>LARGE(($L$7:$L$32),MIN(5,COUNT($L$7:$L$32)))&lt;=L9</formula>
    </cfRule>
  </conditionalFormatting>
  <conditionalFormatting sqref="K7:K32">
    <cfRule type="expression" priority="56" dxfId="3" stopIfTrue="1">
      <formula>LARGE(($C$7:$C$32),MIN(5,COUNT($C$7:$C$32)))&lt;=K7</formula>
    </cfRule>
  </conditionalFormatting>
  <conditionalFormatting sqref="L7:L32">
    <cfRule type="expression" priority="55" dxfId="3" stopIfTrue="1">
      <formula>LARGE(($D$7:$D$32),MIN(5,COUNT($D$7:$D$32)))&lt;=L7</formula>
    </cfRule>
  </conditionalFormatting>
  <conditionalFormatting sqref="K7:K32">
    <cfRule type="top10" priority="53" dxfId="0" stopIfTrue="1" rank="5"/>
  </conditionalFormatting>
  <conditionalFormatting sqref="K7:K32">
    <cfRule type="expression" priority="52" dxfId="3" stopIfTrue="1">
      <formula>LARGE(($C$7:$C$32),MIN(5,COUNT($C$7:$C$32)))&lt;=K7</formula>
    </cfRule>
  </conditionalFormatting>
  <conditionalFormatting sqref="L7:L32">
    <cfRule type="expression" priority="51" dxfId="3" stopIfTrue="1">
      <formula>LARGE(($D$7:$D$32),MIN(5,COUNT($D$7:$D$32)))&lt;=L7</formula>
    </cfRule>
  </conditionalFormatting>
  <conditionalFormatting sqref="K7:K8">
    <cfRule type="expression" priority="49" dxfId="3" stopIfTrue="1">
      <formula>LARGE(($O$7:$O$32),MIN(5,COUNT($O$7:$O$32)))&lt;=K7</formula>
    </cfRule>
  </conditionalFormatting>
  <conditionalFormatting sqref="L7:L8">
    <cfRule type="expression" priority="48" dxfId="3" stopIfTrue="1">
      <formula>LARGE(($P$7:$P$32),MIN(5,COUNT($P$7:$P$32)))&lt;=L7</formula>
    </cfRule>
  </conditionalFormatting>
  <conditionalFormatting sqref="K13:K14 K29 K32 K22:K24 K16">
    <cfRule type="expression" priority="45" dxfId="1" stopIfTrue="1">
      <formula>LARGE(($K$7:$K$32),MIN(10,COUNT($K$7:$K$32)))&lt;=K13</formula>
    </cfRule>
    <cfRule type="expression" priority="46" dxfId="261" stopIfTrue="1">
      <formula>LARGE(($K$7:$K$32),MIN(10,COUNT($K$7:$K$32)))&lt;=K13</formula>
    </cfRule>
    <cfRule type="expression" priority="47" dxfId="3" stopIfTrue="1">
      <formula>LARGE(($K$7:$K$32),MIN(5,COUNT($K$7:$K$32)))&lt;=K13</formula>
    </cfRule>
  </conditionalFormatting>
  <conditionalFormatting sqref="L9 L13:L14 L22:L23 L29 L32">
    <cfRule type="expression" priority="43" dxfId="1" stopIfTrue="1">
      <formula>LARGE(($L$7:$L$32),MIN(10,COUNT($L$7:$L$32)))&lt;=L9</formula>
    </cfRule>
    <cfRule type="expression" priority="44" dxfId="3" stopIfTrue="1">
      <formula>LARGE(($L$7:$L$32),MIN(5,COUNT($L$7:$L$32)))&lt;=L9</formula>
    </cfRule>
  </conditionalFormatting>
  <conditionalFormatting sqref="K7:K8">
    <cfRule type="expression" priority="42" dxfId="3" stopIfTrue="1">
      <formula>LARGE(($O$7:$O$32),MIN(5,COUNT($O$7:$O$32)))&lt;=K7</formula>
    </cfRule>
  </conditionalFormatting>
  <conditionalFormatting sqref="L7:L8">
    <cfRule type="expression" priority="41" dxfId="3" stopIfTrue="1">
      <formula>LARGE(($P$7:$P$32),MIN(5,COUNT($P$7:$P$32)))&lt;=L7</formula>
    </cfRule>
  </conditionalFormatting>
  <conditionalFormatting sqref="O30">
    <cfRule type="top10" priority="40" dxfId="0" stopIfTrue="1" rank="5"/>
  </conditionalFormatting>
  <conditionalFormatting sqref="O30">
    <cfRule type="expression" priority="39" dxfId="3" stopIfTrue="1">
      <formula>LARGE(($C$7:$C$32),MIN(5,COUNT($C$7:$C$32)))&lt;=O30</formula>
    </cfRule>
  </conditionalFormatting>
  <conditionalFormatting sqref="P30">
    <cfRule type="expression" priority="38" dxfId="3" stopIfTrue="1">
      <formula>LARGE(($D$7:$D$32),MIN(5,COUNT($D$7:$D$32)))&lt;=P30</formula>
    </cfRule>
  </conditionalFormatting>
  <conditionalFormatting sqref="O30">
    <cfRule type="top10" priority="37" dxfId="0" stopIfTrue="1" rank="5"/>
  </conditionalFormatting>
  <conditionalFormatting sqref="K7:K8">
    <cfRule type="expression" priority="36" dxfId="3" stopIfTrue="1">
      <formula>LARGE(($O$7:$O$32),MIN(5,COUNT($O$7:$O$32)))&lt;=K7</formula>
    </cfRule>
  </conditionalFormatting>
  <conditionalFormatting sqref="L7:L8">
    <cfRule type="expression" priority="35" dxfId="3" stopIfTrue="1">
      <formula>LARGE(($P$7:$P$32),MIN(5,COUNT($P$7:$P$32)))&lt;=L7</formula>
    </cfRule>
  </conditionalFormatting>
  <conditionalFormatting sqref="K30">
    <cfRule type="top10" priority="34" dxfId="0" stopIfTrue="1" rank="5"/>
  </conditionalFormatting>
  <conditionalFormatting sqref="K30">
    <cfRule type="expression" priority="33" dxfId="3" stopIfTrue="1">
      <formula>LARGE(($C$7:$C$32),MIN(5,COUNT($C$7:$C$32)))&lt;=K30</formula>
    </cfRule>
  </conditionalFormatting>
  <conditionalFormatting sqref="L30">
    <cfRule type="expression" priority="32" dxfId="3" stopIfTrue="1">
      <formula>LARGE(($D$7:$D$32),MIN(5,COUNT($D$7:$D$32)))&lt;=L30</formula>
    </cfRule>
  </conditionalFormatting>
  <conditionalFormatting sqref="K30">
    <cfRule type="top10" priority="31" dxfId="0" stopIfTrue="1" rank="5"/>
  </conditionalFormatting>
  <conditionalFormatting sqref="K7:K8">
    <cfRule type="expression" priority="30" dxfId="3" stopIfTrue="1">
      <formula>LARGE(($O$7:$O$32),MIN(5,COUNT($O$7:$O$32)))&lt;=K7</formula>
    </cfRule>
  </conditionalFormatting>
  <conditionalFormatting sqref="L7:L8">
    <cfRule type="expression" priority="29" dxfId="3" stopIfTrue="1">
      <formula>LARGE(($P$7:$P$32),MIN(5,COUNT($P$7:$P$32)))&lt;=L7</formula>
    </cfRule>
  </conditionalFormatting>
  <conditionalFormatting sqref="K30">
    <cfRule type="top10" priority="28" dxfId="0" stopIfTrue="1" rank="5"/>
  </conditionalFormatting>
  <conditionalFormatting sqref="K30">
    <cfRule type="expression" priority="27" dxfId="3" stopIfTrue="1">
      <formula>LARGE(($C$7:$C$32),MIN(5,COUNT($C$7:$C$32)))&lt;=K30</formula>
    </cfRule>
  </conditionalFormatting>
  <conditionalFormatting sqref="L30">
    <cfRule type="expression" priority="26" dxfId="3" stopIfTrue="1">
      <formula>LARGE(($D$7:$D$32),MIN(5,COUNT($D$7:$D$32)))&lt;=L30</formula>
    </cfRule>
  </conditionalFormatting>
  <conditionalFormatting sqref="K30">
    <cfRule type="top10" priority="25" dxfId="0" stopIfTrue="1" rank="5"/>
  </conditionalFormatting>
  <conditionalFormatting sqref="K7:K8">
    <cfRule type="expression" priority="24" dxfId="3" stopIfTrue="1">
      <formula>LARGE(($O$7:$O$32),MIN(5,COUNT($O$7:$O$32)))&lt;=K7</formula>
    </cfRule>
  </conditionalFormatting>
  <conditionalFormatting sqref="L7:L8">
    <cfRule type="expression" priority="23" dxfId="3" stopIfTrue="1">
      <formula>LARGE(($P$7:$P$32),MIN(5,COUNT($P$7:$P$32)))&lt;=L7</formula>
    </cfRule>
  </conditionalFormatting>
  <conditionalFormatting sqref="K30">
    <cfRule type="top10" priority="22" dxfId="0" stopIfTrue="1" rank="5"/>
  </conditionalFormatting>
  <conditionalFormatting sqref="K30">
    <cfRule type="expression" priority="21" dxfId="3" stopIfTrue="1">
      <formula>LARGE(($C$7:$C$32),MIN(5,COUNT($C$7:$C$32)))&lt;=K30</formula>
    </cfRule>
  </conditionalFormatting>
  <conditionalFormatting sqref="L30">
    <cfRule type="expression" priority="20" dxfId="3" stopIfTrue="1">
      <formula>LARGE(($D$7:$D$32),MIN(5,COUNT($D$7:$D$32)))&lt;=L30</formula>
    </cfRule>
  </conditionalFormatting>
  <conditionalFormatting sqref="K30">
    <cfRule type="top10" priority="19" dxfId="0" stopIfTrue="1" rank="5"/>
  </conditionalFormatting>
  <conditionalFormatting sqref="K7:K8">
    <cfRule type="expression" priority="18" dxfId="3" stopIfTrue="1">
      <formula>LARGE(($O$7:$O$32),MIN(5,COUNT($O$7:$O$32)))&lt;=K7</formula>
    </cfRule>
  </conditionalFormatting>
  <conditionalFormatting sqref="L7:L8">
    <cfRule type="expression" priority="17" dxfId="3" stopIfTrue="1">
      <formula>LARGE(($P$7:$P$32),MIN(5,COUNT($P$7:$P$32)))&lt;=L7</formula>
    </cfRule>
  </conditionalFormatting>
  <conditionalFormatting sqref="K30">
    <cfRule type="top10" priority="16" dxfId="0" stopIfTrue="1" rank="5"/>
  </conditionalFormatting>
  <conditionalFormatting sqref="K30">
    <cfRule type="expression" priority="15" dxfId="3" stopIfTrue="1">
      <formula>LARGE(($C$7:$C$32),MIN(5,COUNT($C$7:$C$32)))&lt;=K30</formula>
    </cfRule>
  </conditionalFormatting>
  <conditionalFormatting sqref="L30">
    <cfRule type="expression" priority="14" dxfId="3" stopIfTrue="1">
      <formula>LARGE(($D$7:$D$32),MIN(5,COUNT($D$7:$D$32)))&lt;=L30</formula>
    </cfRule>
  </conditionalFormatting>
  <conditionalFormatting sqref="K30">
    <cfRule type="top10" priority="13" dxfId="0" stopIfTrue="1" rank="5"/>
  </conditionalFormatting>
  <conditionalFormatting sqref="K7:K8">
    <cfRule type="expression" priority="12" dxfId="3" stopIfTrue="1">
      <formula>LARGE(($O$7:$O$32),MIN(5,COUNT($O$7:$O$32)))&lt;=K7</formula>
    </cfRule>
  </conditionalFormatting>
  <conditionalFormatting sqref="L7:L8">
    <cfRule type="expression" priority="11" dxfId="3" stopIfTrue="1">
      <formula>LARGE(($P$7:$P$32),MIN(5,COUNT($P$7:$P$32)))&lt;=L7</formula>
    </cfRule>
  </conditionalFormatting>
  <conditionalFormatting sqref="K30">
    <cfRule type="top10" priority="10" dxfId="0" stopIfTrue="1" rank="5"/>
  </conditionalFormatting>
  <conditionalFormatting sqref="K30">
    <cfRule type="expression" priority="9" dxfId="3" stopIfTrue="1">
      <formula>LARGE(($C$7:$C$32),MIN(5,COUNT($C$7:$C$32)))&lt;=K30</formula>
    </cfRule>
  </conditionalFormatting>
  <conditionalFormatting sqref="L30">
    <cfRule type="expression" priority="8" dxfId="3" stopIfTrue="1">
      <formula>LARGE(($D$7:$D$32),MIN(5,COUNT($D$7:$D$32)))&lt;=L30</formula>
    </cfRule>
  </conditionalFormatting>
  <conditionalFormatting sqref="K30">
    <cfRule type="top10" priority="7" dxfId="0" stopIfTrue="1" rank="5"/>
  </conditionalFormatting>
  <conditionalFormatting sqref="K7:K8">
    <cfRule type="expression" priority="6" dxfId="3" stopIfTrue="1">
      <formula>LARGE(($O$7:$O$32),MIN(5,COUNT($O$7:$O$32)))&lt;=K7</formula>
    </cfRule>
  </conditionalFormatting>
  <conditionalFormatting sqref="L7:L8">
    <cfRule type="expression" priority="5" dxfId="3" stopIfTrue="1">
      <formula>LARGE(($P$7:$P$32),MIN(5,COUNT($P$7:$P$32)))&lt;=L7</formula>
    </cfRule>
  </conditionalFormatting>
  <conditionalFormatting sqref="K30">
    <cfRule type="top10" priority="4" dxfId="0" stopIfTrue="1" rank="5"/>
  </conditionalFormatting>
  <conditionalFormatting sqref="K30">
    <cfRule type="expression" priority="3" dxfId="3" stopIfTrue="1">
      <formula>LARGE(($C$7:$C$32),MIN(5,COUNT($C$7:$C$32)))&lt;=K30</formula>
    </cfRule>
  </conditionalFormatting>
  <conditionalFormatting sqref="L30">
    <cfRule type="expression" priority="2" dxfId="3" stopIfTrue="1">
      <formula>LARGE(($D$7:$D$32),MIN(5,COUNT($D$7:$D$32)))&lt;=L30</formula>
    </cfRule>
  </conditionalFormatting>
  <conditionalFormatting sqref="K30">
    <cfRule type="top10" priority="1" dxfId="0" stopIfTrue="1" rank="5"/>
  </conditionalFormatting>
  <conditionalFormatting sqref="C32 C28:C30 C22:C26 C7:C10 C12:C20">
    <cfRule type="top10" priority="78" dxfId="0" stopIfTrue="1" rank="5"/>
  </conditionalFormatting>
  <conditionalFormatting sqref="G32 G28:G30 G22:G26 G7:G10 G12:G20">
    <cfRule type="top10" priority="75" dxfId="0" stopIfTrue="1" rank="5"/>
  </conditionalFormatting>
  <conditionalFormatting sqref="C32 C7:C10 C12:C20 C22:C30">
    <cfRule type="top10" priority="71" dxfId="0" stopIfTrue="1" rank="5"/>
  </conditionalFormatting>
  <conditionalFormatting sqref="K32 K28:K30 K22:K26 K7:K10 K12:K20">
    <cfRule type="top10" priority="54" dxfId="0" stopIfTrue="1" rank="5"/>
  </conditionalFormatting>
  <conditionalFormatting sqref="K32 K7:K10 K12:K20 K22:K30">
    <cfRule type="top10" priority="50" dxfId="0" stopIfTrue="1" rank="5"/>
  </conditionalFormatting>
  <printOptions/>
  <pageMargins left="0.11811023622047245" right="0.2362204724409449" top="0.5118110236220472" bottom="0.5118110236220472" header="0.2362204724409449" footer="0.2362204724409449"/>
  <pageSetup horizontalDpi="600" verticalDpi="600" orientation="landscape" paperSize="9" scale="75" r:id="rId1"/>
  <rowBreaks count="1" manualBreakCount="1">
    <brk id="40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O71"/>
  <sheetViews>
    <sheetView workbookViewId="0" topLeftCell="A1">
      <pane xSplit="2" ySplit="6" topLeftCell="X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Z2" sqref="Z2"/>
    </sheetView>
  </sheetViews>
  <sheetFormatPr defaultColWidth="7.8515625" defaultRowHeight="12.75"/>
  <cols>
    <col min="1" max="1" width="4.421875" style="4" customWidth="1"/>
    <col min="2" max="2" width="12.28125" style="4" customWidth="1"/>
    <col min="3" max="3" width="11.57421875" style="4" customWidth="1"/>
    <col min="4" max="4" width="10.00390625" style="4" customWidth="1"/>
    <col min="5" max="5" width="11.7109375" style="4" customWidth="1"/>
    <col min="6" max="6" width="12.8515625" style="4" customWidth="1"/>
    <col min="7" max="7" width="7.00390625" style="4" hidden="1" customWidth="1"/>
    <col min="8" max="8" width="10.421875" style="4" hidden="1" customWidth="1"/>
    <col min="9" max="9" width="12.00390625" style="4" hidden="1" customWidth="1"/>
    <col min="10" max="10" width="0.2890625" style="4" hidden="1" customWidth="1"/>
    <col min="11" max="11" width="11.7109375" style="4" customWidth="1"/>
    <col min="12" max="12" width="10.57421875" style="4" customWidth="1"/>
    <col min="13" max="13" width="11.7109375" style="50" customWidth="1"/>
    <col min="14" max="14" width="12.7109375" style="4" customWidth="1"/>
    <col min="15" max="15" width="12.140625" style="4" customWidth="1"/>
    <col min="16" max="16" width="10.7109375" style="4" customWidth="1"/>
    <col min="17" max="17" width="11.8515625" style="4" customWidth="1"/>
    <col min="18" max="18" width="12.7109375" style="4" customWidth="1"/>
    <col min="19" max="19" width="9.57421875" style="4" customWidth="1"/>
    <col min="20" max="20" width="7.28125" style="4" customWidth="1"/>
    <col min="21" max="21" width="10.00390625" style="4" customWidth="1"/>
    <col min="22" max="22" width="11.421875" style="4" hidden="1" customWidth="1"/>
    <col min="23" max="23" width="9.28125" style="4" customWidth="1"/>
    <col min="24" max="24" width="10.140625" style="4" customWidth="1"/>
    <col min="25" max="25" width="9.140625" style="4" customWidth="1"/>
    <col min="26" max="27" width="10.57421875" style="4" customWidth="1"/>
    <col min="28" max="28" width="11.8515625" style="4" customWidth="1"/>
    <col min="29" max="29" width="11.140625" style="4" customWidth="1"/>
    <col min="30" max="30" width="12.421875" style="4" customWidth="1"/>
    <col min="31" max="31" width="9.8515625" style="4" customWidth="1"/>
    <col min="32" max="32" width="11.140625" style="4" customWidth="1"/>
    <col min="33" max="33" width="10.28125" style="4" customWidth="1"/>
    <col min="34" max="34" width="11.140625" style="4" customWidth="1"/>
    <col min="35" max="36" width="9.8515625" style="4" customWidth="1"/>
    <col min="37" max="37" width="10.421875" style="4" customWidth="1"/>
    <col min="38" max="39" width="9.8515625" style="4" hidden="1" customWidth="1"/>
    <col min="40" max="43" width="9.8515625" style="4" customWidth="1"/>
    <col min="44" max="44" width="9.57421875" style="4" customWidth="1"/>
    <col min="45" max="45" width="10.140625" style="4" customWidth="1"/>
    <col min="46" max="46" width="10.28125" style="4" customWidth="1"/>
    <col min="47" max="47" width="10.421875" style="4" customWidth="1"/>
    <col min="48" max="48" width="12.140625" style="4" customWidth="1"/>
    <col min="49" max="49" width="9.00390625" style="4" customWidth="1"/>
    <col min="50" max="50" width="12.57421875" style="4" customWidth="1"/>
    <col min="51" max="51" width="12.8515625" style="4" customWidth="1"/>
    <col min="52" max="52" width="11.57421875" style="4" customWidth="1"/>
    <col min="53" max="53" width="10.28125" style="4" customWidth="1"/>
    <col min="54" max="54" width="11.421875" style="4" customWidth="1"/>
    <col min="55" max="55" width="5.57421875" style="4" customWidth="1"/>
    <col min="56" max="56" width="4.57421875" style="4" customWidth="1"/>
    <col min="57" max="57" width="7.8515625" style="4" customWidth="1"/>
    <col min="58" max="58" width="9.00390625" style="4" customWidth="1"/>
    <col min="59" max="59" width="7.8515625" style="4" customWidth="1"/>
    <col min="60" max="60" width="10.421875" style="4" customWidth="1"/>
    <col min="61" max="73" width="7.8515625" style="4" customWidth="1"/>
    <col min="74" max="74" width="13.7109375" style="4" customWidth="1"/>
    <col min="75" max="16384" width="7.8515625" style="4" customWidth="1"/>
  </cols>
  <sheetData>
    <row r="1" spans="1:49" ht="13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B1" s="5"/>
      <c r="AC1" s="5"/>
      <c r="AD1" s="5"/>
      <c r="AE1" s="5"/>
      <c r="AF1" s="132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3"/>
      <c r="AW1" s="3"/>
    </row>
    <row r="2" spans="3:49" ht="16.5" customHeight="1">
      <c r="C2" s="41" t="s">
        <v>212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1" t="s">
        <v>165</v>
      </c>
      <c r="P2" s="389"/>
      <c r="Q2" s="55"/>
      <c r="R2" s="39"/>
      <c r="S2" s="1" t="str">
        <f>'Feb 13(3)'!R2</f>
        <v>No.1-2(1)/2012-CP&amp;M-LTP    </v>
      </c>
      <c r="T2" s="39"/>
      <c r="U2" s="39"/>
      <c r="V2" s="39"/>
      <c r="W2" s="134"/>
      <c r="X2" s="349"/>
      <c r="Y2" s="1" t="s">
        <v>130</v>
      </c>
      <c r="Z2" s="39"/>
      <c r="AA2" s="203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1" t="s">
        <v>131</v>
      </c>
      <c r="AU2" s="39"/>
      <c r="AV2" s="2"/>
      <c r="AW2" s="3"/>
    </row>
    <row r="3" spans="1:49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2"/>
      <c r="AW3" s="3"/>
    </row>
    <row r="4" spans="1:49" ht="30.75" customHeight="1">
      <c r="A4" s="474" t="s">
        <v>18</v>
      </c>
      <c r="B4" s="474" t="s">
        <v>17</v>
      </c>
      <c r="C4" s="467" t="s">
        <v>194</v>
      </c>
      <c r="D4" s="468"/>
      <c r="E4" s="468"/>
      <c r="F4" s="469"/>
      <c r="G4" s="467" t="s">
        <v>166</v>
      </c>
      <c r="H4" s="468"/>
      <c r="I4" s="468"/>
      <c r="J4" s="469"/>
      <c r="K4" s="467" t="s">
        <v>195</v>
      </c>
      <c r="L4" s="468"/>
      <c r="M4" s="468"/>
      <c r="N4" s="469"/>
      <c r="O4" s="517" t="s">
        <v>213</v>
      </c>
      <c r="P4" s="518"/>
      <c r="Q4" s="518"/>
      <c r="R4" s="519"/>
      <c r="S4" s="473" t="s">
        <v>24</v>
      </c>
      <c r="T4" s="473"/>
      <c r="U4" s="473"/>
      <c r="V4" s="473"/>
      <c r="W4" s="473"/>
      <c r="X4" s="473"/>
      <c r="Y4" s="473"/>
      <c r="Z4" s="473"/>
      <c r="AA4" s="467" t="s">
        <v>61</v>
      </c>
      <c r="AB4" s="468"/>
      <c r="AC4" s="468"/>
      <c r="AD4" s="468"/>
      <c r="AE4" s="467" t="s">
        <v>62</v>
      </c>
      <c r="AF4" s="468"/>
      <c r="AG4" s="468"/>
      <c r="AH4" s="468"/>
      <c r="AI4" s="467" t="s">
        <v>185</v>
      </c>
      <c r="AJ4" s="468"/>
      <c r="AK4" s="468"/>
      <c r="AL4" s="469"/>
      <c r="AM4" s="40"/>
      <c r="AN4" s="512" t="s">
        <v>214</v>
      </c>
      <c r="AO4" s="513"/>
      <c r="AP4" s="513"/>
      <c r="AQ4" s="514"/>
      <c r="AR4" s="467" t="s">
        <v>186</v>
      </c>
      <c r="AS4" s="468"/>
      <c r="AT4" s="468"/>
      <c r="AU4" s="469"/>
      <c r="AV4" s="6"/>
      <c r="AW4" s="6"/>
    </row>
    <row r="5" spans="1:49" ht="18" customHeight="1">
      <c r="A5" s="475"/>
      <c r="B5" s="475"/>
      <c r="C5" s="474" t="s">
        <v>26</v>
      </c>
      <c r="D5" s="474" t="s">
        <v>21</v>
      </c>
      <c r="E5" s="474" t="s">
        <v>1</v>
      </c>
      <c r="F5" s="515" t="s">
        <v>2</v>
      </c>
      <c r="G5" s="474" t="s">
        <v>26</v>
      </c>
      <c r="H5" s="474" t="s">
        <v>94</v>
      </c>
      <c r="I5" s="474" t="s">
        <v>93</v>
      </c>
      <c r="J5" s="515" t="s">
        <v>2</v>
      </c>
      <c r="K5" s="474" t="s">
        <v>26</v>
      </c>
      <c r="L5" s="474" t="s">
        <v>21</v>
      </c>
      <c r="M5" s="482" t="s">
        <v>1</v>
      </c>
      <c r="N5" s="515" t="s">
        <v>2</v>
      </c>
      <c r="O5" s="474" t="s">
        <v>26</v>
      </c>
      <c r="P5" s="474" t="s">
        <v>21</v>
      </c>
      <c r="Q5" s="474" t="s">
        <v>1</v>
      </c>
      <c r="R5" s="515" t="s">
        <v>2</v>
      </c>
      <c r="S5" s="473" t="s">
        <v>0</v>
      </c>
      <c r="T5" s="473"/>
      <c r="U5" s="473"/>
      <c r="V5" s="473"/>
      <c r="W5" s="520" t="s">
        <v>177</v>
      </c>
      <c r="X5" s="520"/>
      <c r="Y5" s="520"/>
      <c r="Z5" s="520"/>
      <c r="AA5" s="474" t="s">
        <v>26</v>
      </c>
      <c r="AB5" s="474" t="s">
        <v>21</v>
      </c>
      <c r="AC5" s="510" t="s">
        <v>64</v>
      </c>
      <c r="AD5" s="474" t="s">
        <v>1</v>
      </c>
      <c r="AE5" s="474" t="s">
        <v>26</v>
      </c>
      <c r="AF5" s="474" t="s">
        <v>21</v>
      </c>
      <c r="AG5" s="510" t="s">
        <v>64</v>
      </c>
      <c r="AH5" s="474" t="s">
        <v>1</v>
      </c>
      <c r="AI5" s="474" t="s">
        <v>26</v>
      </c>
      <c r="AJ5" s="474" t="s">
        <v>21</v>
      </c>
      <c r="AK5" s="474" t="s">
        <v>1</v>
      </c>
      <c r="AL5" s="474" t="s">
        <v>2</v>
      </c>
      <c r="AM5" s="37"/>
      <c r="AN5" s="474" t="s">
        <v>26</v>
      </c>
      <c r="AO5" s="474" t="s">
        <v>21</v>
      </c>
      <c r="AP5" s="474" t="s">
        <v>1</v>
      </c>
      <c r="AQ5" s="474" t="s">
        <v>2</v>
      </c>
      <c r="AR5" s="474" t="s">
        <v>26</v>
      </c>
      <c r="AS5" s="474" t="s">
        <v>21</v>
      </c>
      <c r="AT5" s="474" t="s">
        <v>1</v>
      </c>
      <c r="AU5" s="474" t="s">
        <v>2</v>
      </c>
      <c r="AV5" s="6"/>
      <c r="AW5" s="6"/>
    </row>
    <row r="6" spans="1:49" ht="29.25" customHeight="1">
      <c r="A6" s="476"/>
      <c r="B6" s="476"/>
      <c r="C6" s="476"/>
      <c r="D6" s="476"/>
      <c r="E6" s="476"/>
      <c r="F6" s="516"/>
      <c r="G6" s="476"/>
      <c r="H6" s="476"/>
      <c r="I6" s="476"/>
      <c r="J6" s="516"/>
      <c r="K6" s="476"/>
      <c r="L6" s="476"/>
      <c r="M6" s="483"/>
      <c r="N6" s="516"/>
      <c r="O6" s="475"/>
      <c r="P6" s="476"/>
      <c r="Q6" s="476"/>
      <c r="R6" s="516"/>
      <c r="S6" s="12" t="s">
        <v>26</v>
      </c>
      <c r="T6" s="12" t="s">
        <v>20</v>
      </c>
      <c r="U6" s="12" t="s">
        <v>1</v>
      </c>
      <c r="V6" s="12" t="s">
        <v>2</v>
      </c>
      <c r="W6" s="12" t="s">
        <v>26</v>
      </c>
      <c r="X6" s="12" t="s">
        <v>20</v>
      </c>
      <c r="Y6" s="12" t="s">
        <v>1</v>
      </c>
      <c r="Z6" s="12" t="s">
        <v>2</v>
      </c>
      <c r="AA6" s="476"/>
      <c r="AB6" s="476"/>
      <c r="AC6" s="511"/>
      <c r="AD6" s="476"/>
      <c r="AE6" s="476"/>
      <c r="AF6" s="476"/>
      <c r="AG6" s="511"/>
      <c r="AH6" s="476"/>
      <c r="AI6" s="476"/>
      <c r="AJ6" s="476"/>
      <c r="AK6" s="476"/>
      <c r="AL6" s="476"/>
      <c r="AM6" s="38"/>
      <c r="AN6" s="476"/>
      <c r="AO6" s="476"/>
      <c r="AP6" s="476"/>
      <c r="AQ6" s="476"/>
      <c r="AR6" s="476"/>
      <c r="AS6" s="476"/>
      <c r="AT6" s="476"/>
      <c r="AU6" s="476"/>
      <c r="AV6" s="6"/>
      <c r="AW6" s="6"/>
    </row>
    <row r="7" spans="1:58" ht="21" customHeight="1">
      <c r="A7" s="24">
        <v>1</v>
      </c>
      <c r="B7" s="25" t="s">
        <v>39</v>
      </c>
      <c r="C7" s="35">
        <v>54970</v>
      </c>
      <c r="D7" s="35">
        <v>29500</v>
      </c>
      <c r="E7" s="35">
        <v>118250</v>
      </c>
      <c r="F7" s="26">
        <f aca="true" t="shared" si="0" ref="F7:F32">C7+D7+E7</f>
        <v>202720</v>
      </c>
      <c r="G7" s="175"/>
      <c r="H7" s="313"/>
      <c r="I7" s="313"/>
      <c r="J7" s="26">
        <f aca="true" t="shared" si="1" ref="J7:J32">G7+H7+I7</f>
        <v>0</v>
      </c>
      <c r="K7" s="35">
        <v>42518</v>
      </c>
      <c r="L7" s="35">
        <v>29750</v>
      </c>
      <c r="M7" s="35">
        <v>400000</v>
      </c>
      <c r="N7" s="26">
        <f aca="true" t="shared" si="2" ref="N7:N32">K7+L7+M7</f>
        <v>472268</v>
      </c>
      <c r="O7" s="35">
        <v>42518</v>
      </c>
      <c r="P7" s="35">
        <v>29750</v>
      </c>
      <c r="Q7" s="35">
        <v>400000</v>
      </c>
      <c r="R7" s="35">
        <f aca="true" t="shared" si="3" ref="R7:R32">O7+P7+Q7</f>
        <v>472268</v>
      </c>
      <c r="S7" s="35">
        <f aca="true" t="shared" si="4" ref="S7:S32">O7-K7</f>
        <v>0</v>
      </c>
      <c r="T7" s="35">
        <f aca="true" t="shared" si="5" ref="T7:T32">P7-L7</f>
        <v>0</v>
      </c>
      <c r="U7" s="35">
        <f aca="true" t="shared" si="6" ref="U7:U32">Q7-M7</f>
        <v>0</v>
      </c>
      <c r="V7" s="26">
        <f aca="true" t="shared" si="7" ref="V7:V32">SUM(S7:U7)</f>
        <v>0</v>
      </c>
      <c r="W7" s="26">
        <f aca="true" t="shared" si="8" ref="W7:W32">O7-C7</f>
        <v>-12452</v>
      </c>
      <c r="X7" s="26">
        <f aca="true" t="shared" si="9" ref="X7:X32">P7-D7</f>
        <v>250</v>
      </c>
      <c r="Y7" s="26">
        <f aca="true" t="shared" si="10" ref="Y7:Y32">Q7-E7</f>
        <v>281750</v>
      </c>
      <c r="Z7" s="26">
        <f aca="true" t="shared" si="11" ref="Z7:Z32">SUM(W7:Y7)</f>
        <v>269548</v>
      </c>
      <c r="AA7" s="35">
        <v>0</v>
      </c>
      <c r="AB7" s="231">
        <v>0</v>
      </c>
      <c r="AC7" s="231">
        <v>0</v>
      </c>
      <c r="AD7" s="35">
        <v>0</v>
      </c>
      <c r="AE7" s="35">
        <v>0</v>
      </c>
      <c r="AF7" s="231">
        <v>0</v>
      </c>
      <c r="AG7" s="231">
        <v>0</v>
      </c>
      <c r="AH7" s="35">
        <v>0</v>
      </c>
      <c r="AI7" s="160">
        <f aca="true" t="shared" si="12" ref="AI7:AK22">(AN7-AR7)/AR7*100</f>
        <v>13.387750356832942</v>
      </c>
      <c r="AJ7" s="160">
        <f t="shared" si="12"/>
        <v>9.686547707583935</v>
      </c>
      <c r="AK7" s="160">
        <f t="shared" si="12"/>
        <v>-67.21071486122567</v>
      </c>
      <c r="AL7" s="160">
        <f aca="true" t="shared" si="13" ref="AL7:AL33">(AQ7-AU7)/AU7</f>
        <v>-0.5315457090615987</v>
      </c>
      <c r="AM7" s="160"/>
      <c r="AN7" s="157">
        <f>'Feb 13(1)'!O6/'Feb 13 (4&amp;5)'!O7*100</f>
        <v>32.80963356695988</v>
      </c>
      <c r="AO7" s="157">
        <f>'Feb 13(1)'!P6/'Feb 13 (4&amp;5)'!P7*100</f>
        <v>37.05546218487395</v>
      </c>
      <c r="AP7" s="157">
        <f>'Feb 13(1)'!Q6/'Feb 13 (4&amp;5)'!Q7*100</f>
        <v>50.762249999999995</v>
      </c>
      <c r="AQ7" s="157">
        <f>'Feb 13(1)'!R6/'Feb 13 (4&amp;5)'!R7*100</f>
        <v>48.28254296289395</v>
      </c>
      <c r="AR7" s="157">
        <f>'Feb 13(1)'!C6/'Feb 13 (4&amp;5)'!C7*100</f>
        <v>28.93578315444788</v>
      </c>
      <c r="AS7" s="157">
        <f>'Feb 13(1)'!D6/'Feb 13 (4&amp;5)'!D7*100</f>
        <v>33.78305084745763</v>
      </c>
      <c r="AT7" s="157">
        <f>'Feb 13(1)'!E6/'Feb 13 (4&amp;5)'!E7*100</f>
        <v>154.8135306553911</v>
      </c>
      <c r="AU7" s="157">
        <f>'Feb 13(1)'!F6/'Feb 13 (4&amp;5)'!F7*100</f>
        <v>103.06777821625887</v>
      </c>
      <c r="AV7" s="7"/>
      <c r="AW7" s="7"/>
      <c r="AX7" s="8"/>
      <c r="AY7" s="8"/>
      <c r="AZ7" s="8"/>
      <c r="BA7" s="8"/>
      <c r="BB7" s="8"/>
      <c r="BC7" s="8"/>
      <c r="BD7" s="8"/>
      <c r="BE7" s="8"/>
      <c r="BF7" s="8"/>
    </row>
    <row r="8" spans="1:58" ht="21" customHeight="1">
      <c r="A8" s="27">
        <v>2</v>
      </c>
      <c r="B8" s="28" t="s">
        <v>65</v>
      </c>
      <c r="C8" s="33">
        <v>3444521</v>
      </c>
      <c r="D8" s="33">
        <v>542000</v>
      </c>
      <c r="E8" s="33">
        <v>5330027</v>
      </c>
      <c r="F8" s="29">
        <f t="shared" si="0"/>
        <v>9316548</v>
      </c>
      <c r="G8" s="176"/>
      <c r="H8" s="314"/>
      <c r="I8" s="314"/>
      <c r="J8" s="29">
        <f t="shared" si="1"/>
        <v>0</v>
      </c>
      <c r="K8" s="33">
        <v>3290083</v>
      </c>
      <c r="L8" s="33">
        <v>542000</v>
      </c>
      <c r="M8" s="33">
        <v>5663855</v>
      </c>
      <c r="N8" s="29">
        <f t="shared" si="2"/>
        <v>9495938</v>
      </c>
      <c r="O8" s="33">
        <v>3281541</v>
      </c>
      <c r="P8" s="33">
        <v>542000</v>
      </c>
      <c r="Q8" s="33">
        <v>5749920</v>
      </c>
      <c r="R8" s="33">
        <f t="shared" si="3"/>
        <v>9573461</v>
      </c>
      <c r="S8" s="33">
        <f t="shared" si="4"/>
        <v>-8542</v>
      </c>
      <c r="T8" s="33">
        <f t="shared" si="5"/>
        <v>0</v>
      </c>
      <c r="U8" s="33">
        <f t="shared" si="6"/>
        <v>86065</v>
      </c>
      <c r="V8" s="29">
        <f t="shared" si="7"/>
        <v>77523</v>
      </c>
      <c r="W8" s="362">
        <f t="shared" si="8"/>
        <v>-162980</v>
      </c>
      <c r="X8" s="29">
        <f t="shared" si="9"/>
        <v>0</v>
      </c>
      <c r="Y8" s="29">
        <f t="shared" si="10"/>
        <v>419893</v>
      </c>
      <c r="Z8" s="29">
        <f t="shared" si="11"/>
        <v>256913</v>
      </c>
      <c r="AA8" s="35">
        <v>0</v>
      </c>
      <c r="AB8" s="35">
        <v>250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160">
        <f t="shared" si="12"/>
        <v>-1.0433565717590063</v>
      </c>
      <c r="AJ8" s="160">
        <f t="shared" si="12"/>
        <v>-58.42667493968874</v>
      </c>
      <c r="AK8" s="160">
        <f t="shared" si="12"/>
        <v>-3.098308292536942</v>
      </c>
      <c r="AL8" s="160">
        <f t="shared" si="13"/>
        <v>-0.012638246821583892</v>
      </c>
      <c r="AM8" s="161"/>
      <c r="AN8" s="157">
        <f>'Feb 13(1)'!O7/'Feb 13 (4&amp;5)'!O8*100</f>
        <v>56.59728158203722</v>
      </c>
      <c r="AO8" s="157">
        <f>'Feb 13(1)'!P7/'Feb 13 (4&amp;5)'!P8*100</f>
        <v>16.565129151291515</v>
      </c>
      <c r="AP8" s="157">
        <f>'Feb 13(1)'!Q7/'Feb 13 (4&amp;5)'!Q8*100</f>
        <v>160.0647487269388</v>
      </c>
      <c r="AQ8" s="157">
        <f>'Feb 13(1)'!R7/'Feb 13 (4&amp;5)'!R8*100</f>
        <v>116.47450175020298</v>
      </c>
      <c r="AR8" s="157">
        <f>'Feb 13(1)'!C7/'Feb 13 (4&amp;5)'!C8*100</f>
        <v>57.194019139381055</v>
      </c>
      <c r="AS8" s="157">
        <f>'Feb 13(1)'!D7/'Feb 13 (4&amp;5)'!D8*100</f>
        <v>39.84557195571956</v>
      </c>
      <c r="AT8" s="157">
        <f>'Feb 13(1)'!E7/'Feb 13 (4&amp;5)'!E8*100</f>
        <v>165.18261539763307</v>
      </c>
      <c r="AU8" s="157">
        <f>'Feb 13(1)'!F7/'Feb 13 (4&amp;5)'!F8*100</f>
        <v>117.96537730498464</v>
      </c>
      <c r="AV8" s="7"/>
      <c r="AW8" s="7"/>
      <c r="AX8" s="8"/>
      <c r="AY8" s="8"/>
      <c r="AZ8" s="8"/>
      <c r="BA8" s="8"/>
      <c r="BB8" s="8"/>
      <c r="BC8" s="8"/>
      <c r="BD8" s="8"/>
      <c r="BE8" s="8"/>
      <c r="BF8" s="8"/>
    </row>
    <row r="9" spans="1:67" ht="21" customHeight="1">
      <c r="A9" s="30">
        <v>3</v>
      </c>
      <c r="B9" s="31" t="s">
        <v>3</v>
      </c>
      <c r="C9" s="34">
        <v>586434</v>
      </c>
      <c r="D9" s="34">
        <v>240750</v>
      </c>
      <c r="E9" s="34">
        <v>1314429</v>
      </c>
      <c r="F9" s="32">
        <f t="shared" si="0"/>
        <v>2141613</v>
      </c>
      <c r="G9" s="177"/>
      <c r="H9" s="315"/>
      <c r="I9" s="315"/>
      <c r="J9" s="32">
        <f t="shared" si="1"/>
        <v>0</v>
      </c>
      <c r="K9" s="34">
        <v>574330</v>
      </c>
      <c r="L9" s="34">
        <v>240750</v>
      </c>
      <c r="M9" s="34">
        <v>1322089</v>
      </c>
      <c r="N9" s="32">
        <f t="shared" si="2"/>
        <v>2137169</v>
      </c>
      <c r="O9" s="34">
        <v>574330</v>
      </c>
      <c r="P9" s="34">
        <v>240750</v>
      </c>
      <c r="Q9" s="34">
        <v>1328835</v>
      </c>
      <c r="R9" s="34">
        <f t="shared" si="3"/>
        <v>2143915</v>
      </c>
      <c r="S9" s="32">
        <f t="shared" si="4"/>
        <v>0</v>
      </c>
      <c r="T9" s="32">
        <f t="shared" si="5"/>
        <v>0</v>
      </c>
      <c r="U9" s="32">
        <f t="shared" si="6"/>
        <v>6746</v>
      </c>
      <c r="V9" s="32">
        <f t="shared" si="7"/>
        <v>6746</v>
      </c>
      <c r="W9" s="32">
        <f t="shared" si="8"/>
        <v>-12104</v>
      </c>
      <c r="X9" s="32">
        <f t="shared" si="9"/>
        <v>0</v>
      </c>
      <c r="Y9" s="32">
        <f t="shared" si="10"/>
        <v>14406</v>
      </c>
      <c r="Z9" s="32">
        <f t="shared" si="11"/>
        <v>2302</v>
      </c>
      <c r="AA9" s="35">
        <v>0</v>
      </c>
      <c r="AB9" s="35">
        <v>750</v>
      </c>
      <c r="AC9" s="35">
        <v>3180</v>
      </c>
      <c r="AD9" s="35">
        <v>542</v>
      </c>
      <c r="AE9" s="35">
        <v>0</v>
      </c>
      <c r="AF9" s="35">
        <v>44000</v>
      </c>
      <c r="AG9" s="35">
        <v>21031</v>
      </c>
      <c r="AH9" s="35">
        <v>0</v>
      </c>
      <c r="AI9" s="160">
        <f t="shared" si="12"/>
        <v>-13.056135572576865</v>
      </c>
      <c r="AJ9" s="160">
        <f t="shared" si="12"/>
        <v>-12.251203079884519</v>
      </c>
      <c r="AK9" s="160">
        <f t="shared" si="12"/>
        <v>-2.7010262250108648</v>
      </c>
      <c r="AL9" s="160">
        <f t="shared" si="13"/>
        <v>-0.044882769648400746</v>
      </c>
      <c r="AM9" s="161"/>
      <c r="AN9" s="157">
        <f>'Feb 13(1)'!O8/'Feb 13 (4&amp;5)'!O9*100</f>
        <v>33.68864590044051</v>
      </c>
      <c r="AO9" s="157">
        <f>'Feb 13(1)'!P8/'Feb 13 (4&amp;5)'!P9*100</f>
        <v>37.869574247144335</v>
      </c>
      <c r="AP9" s="157">
        <f>'Feb 13(1)'!Q8/'Feb 13 (4&amp;5)'!Q9*100</f>
        <v>85.977040038831</v>
      </c>
      <c r="AQ9" s="157">
        <f>'Feb 13(1)'!R8/'Feb 13 (4&amp;5)'!R9*100</f>
        <v>66.56737790444117</v>
      </c>
      <c r="AR9" s="157">
        <f>'Feb 13(1)'!C8/'Feb 13 (4&amp;5)'!C9*100</f>
        <v>38.74758284819775</v>
      </c>
      <c r="AS9" s="157">
        <f>'Feb 13(1)'!D8/'Feb 13 (4&amp;5)'!D9*100</f>
        <v>43.15680166147456</v>
      </c>
      <c r="AT9" s="157">
        <f>'Feb 13(1)'!E8/'Feb 13 (4&amp;5)'!E9*100</f>
        <v>88.36376860218391</v>
      </c>
      <c r="AU9" s="157">
        <f>'Feb 13(1)'!F8/'Feb 13 (4&amp;5)'!F9*100</f>
        <v>69.69550521032511</v>
      </c>
      <c r="AV9" s="7"/>
      <c r="AW9" s="7"/>
      <c r="AX9" s="8"/>
      <c r="AY9" s="8"/>
      <c r="AZ9" s="8"/>
      <c r="BA9" s="8"/>
      <c r="BB9" s="8"/>
      <c r="BC9" s="8"/>
      <c r="BD9" s="8"/>
      <c r="BE9" s="8"/>
      <c r="BF9" s="8"/>
      <c r="BO9" s="4" t="s">
        <v>4</v>
      </c>
    </row>
    <row r="10" spans="1:67" ht="21" customHeight="1">
      <c r="A10" s="24">
        <v>4</v>
      </c>
      <c r="B10" s="25" t="s">
        <v>31</v>
      </c>
      <c r="C10" s="35">
        <v>1317308</v>
      </c>
      <c r="D10" s="35">
        <v>366000</v>
      </c>
      <c r="E10" s="35">
        <v>2262784</v>
      </c>
      <c r="F10" s="26">
        <f t="shared" si="0"/>
        <v>3946092</v>
      </c>
      <c r="G10" s="175"/>
      <c r="H10" s="313"/>
      <c r="I10" s="313"/>
      <c r="J10" s="26">
        <f t="shared" si="1"/>
        <v>0</v>
      </c>
      <c r="K10" s="35">
        <v>590822</v>
      </c>
      <c r="L10" s="35">
        <v>236250</v>
      </c>
      <c r="M10" s="35">
        <v>2266844</v>
      </c>
      <c r="N10" s="26">
        <f t="shared" si="2"/>
        <v>3093916</v>
      </c>
      <c r="O10" s="35">
        <v>590822</v>
      </c>
      <c r="P10" s="35">
        <v>225250</v>
      </c>
      <c r="Q10" s="35">
        <v>2266844</v>
      </c>
      <c r="R10" s="35">
        <f t="shared" si="3"/>
        <v>3082916</v>
      </c>
      <c r="S10" s="26">
        <f t="shared" si="4"/>
        <v>0</v>
      </c>
      <c r="T10" s="372">
        <f t="shared" si="5"/>
        <v>-11000</v>
      </c>
      <c r="U10" s="26">
        <f t="shared" si="6"/>
        <v>0</v>
      </c>
      <c r="V10" s="26">
        <f t="shared" si="7"/>
        <v>-11000</v>
      </c>
      <c r="W10" s="397">
        <f t="shared" si="8"/>
        <v>-726486</v>
      </c>
      <c r="X10" s="26">
        <f t="shared" si="9"/>
        <v>-140750</v>
      </c>
      <c r="Y10" s="26">
        <f t="shared" si="10"/>
        <v>4060</v>
      </c>
      <c r="Z10" s="35">
        <f t="shared" si="11"/>
        <v>-863176</v>
      </c>
      <c r="AA10" s="35">
        <v>0</v>
      </c>
      <c r="AB10" s="35">
        <v>0</v>
      </c>
      <c r="AC10" s="231">
        <v>0</v>
      </c>
      <c r="AD10" s="35">
        <v>21569</v>
      </c>
      <c r="AE10" s="35">
        <v>0</v>
      </c>
      <c r="AF10" s="35">
        <v>0</v>
      </c>
      <c r="AG10" s="231">
        <v>0</v>
      </c>
      <c r="AH10" s="35">
        <v>0</v>
      </c>
      <c r="AI10" s="160">
        <f t="shared" si="12"/>
        <v>26.917645145065045</v>
      </c>
      <c r="AJ10" s="160">
        <f t="shared" si="12"/>
        <v>-33.63734027392983</v>
      </c>
      <c r="AK10" s="160">
        <f t="shared" si="12"/>
        <v>-0.4968015793371472</v>
      </c>
      <c r="AL10" s="160">
        <f t="shared" si="13"/>
        <v>0.1882262112980061</v>
      </c>
      <c r="AM10" s="160"/>
      <c r="AN10" s="157">
        <f>'Feb 13(1)'!O9/'Feb 13 (4&amp;5)'!O10*100</f>
        <v>36.587669382656706</v>
      </c>
      <c r="AO10" s="157">
        <f>'Feb 13(1)'!P9/'Feb 13 (4&amp;5)'!P10*100</f>
        <v>51.520088790233075</v>
      </c>
      <c r="AP10" s="157">
        <f>'Feb 13(1)'!Q9/'Feb 13 (4&amp;5)'!Q10*100</f>
        <v>182.35141015438202</v>
      </c>
      <c r="AQ10" s="157">
        <f>'Feb 13(1)'!R9/'Feb 13 (4&amp;5)'!R10*100</f>
        <v>144.8576282973652</v>
      </c>
      <c r="AR10" s="157">
        <f>'Feb 13(1)'!C9/'Feb 13 (4&amp;5)'!C10*100</f>
        <v>28.827882317574932</v>
      </c>
      <c r="AS10" s="157">
        <f>'Feb 13(1)'!D9/'Feb 13 (4&amp;5)'!D10*100</f>
        <v>77.63415300546448</v>
      </c>
      <c r="AT10" s="157">
        <f>'Feb 13(1)'!E9/'Feb 13 (4&amp;5)'!E10*100</f>
        <v>183.26185795904516</v>
      </c>
      <c r="AU10" s="157">
        <f>'Feb 13(1)'!F9/'Feb 13 (4&amp;5)'!F10*100</f>
        <v>121.91081708181157</v>
      </c>
      <c r="AV10" s="7"/>
      <c r="AW10" s="7"/>
      <c r="AX10" s="8"/>
      <c r="AY10" s="8"/>
      <c r="AZ10" s="8"/>
      <c r="BA10" s="8"/>
      <c r="BB10" s="8"/>
      <c r="BC10" s="8"/>
      <c r="BD10" s="8"/>
      <c r="BE10" s="8"/>
      <c r="BF10" s="8"/>
      <c r="BO10" s="4" t="s">
        <v>4</v>
      </c>
    </row>
    <row r="11" spans="1:67" ht="21" customHeight="1">
      <c r="A11" s="27">
        <v>5</v>
      </c>
      <c r="B11" s="28" t="s">
        <v>5</v>
      </c>
      <c r="C11" s="33">
        <v>380503</v>
      </c>
      <c r="D11" s="33">
        <v>216500</v>
      </c>
      <c r="E11" s="33">
        <v>1748165</v>
      </c>
      <c r="F11" s="29">
        <f t="shared" si="0"/>
        <v>2345168</v>
      </c>
      <c r="G11" s="176"/>
      <c r="H11" s="314"/>
      <c r="I11" s="314"/>
      <c r="J11" s="29">
        <f t="shared" si="1"/>
        <v>0</v>
      </c>
      <c r="K11" s="33">
        <v>365660</v>
      </c>
      <c r="L11" s="33">
        <v>216500</v>
      </c>
      <c r="M11" s="33">
        <v>1924740</v>
      </c>
      <c r="N11" s="29">
        <f t="shared" si="2"/>
        <v>2506900</v>
      </c>
      <c r="O11" s="33">
        <v>365660</v>
      </c>
      <c r="P11" s="33">
        <v>216500</v>
      </c>
      <c r="Q11" s="33">
        <v>1925717</v>
      </c>
      <c r="R11" s="33">
        <f t="shared" si="3"/>
        <v>2507877</v>
      </c>
      <c r="S11" s="33">
        <f t="shared" si="4"/>
        <v>0</v>
      </c>
      <c r="T11" s="33">
        <f t="shared" si="5"/>
        <v>0</v>
      </c>
      <c r="U11" s="33">
        <f t="shared" si="6"/>
        <v>977</v>
      </c>
      <c r="V11" s="33">
        <f t="shared" si="7"/>
        <v>977</v>
      </c>
      <c r="W11" s="33">
        <f t="shared" si="8"/>
        <v>-14843</v>
      </c>
      <c r="X11" s="33">
        <f t="shared" si="9"/>
        <v>0</v>
      </c>
      <c r="Y11" s="33">
        <f t="shared" si="10"/>
        <v>177552</v>
      </c>
      <c r="Z11" s="33">
        <f t="shared" si="11"/>
        <v>162709</v>
      </c>
      <c r="AA11" s="35">
        <v>0</v>
      </c>
      <c r="AB11" s="35">
        <v>0</v>
      </c>
      <c r="AC11" s="231">
        <v>0</v>
      </c>
      <c r="AD11" s="35">
        <v>0</v>
      </c>
      <c r="AE11" s="35">
        <v>0</v>
      </c>
      <c r="AF11" s="35">
        <v>0</v>
      </c>
      <c r="AG11" s="231">
        <v>0</v>
      </c>
      <c r="AH11" s="35">
        <v>0</v>
      </c>
      <c r="AI11" s="160">
        <f t="shared" si="12"/>
        <v>-2.0682188886560735</v>
      </c>
      <c r="AJ11" s="160">
        <f t="shared" si="12"/>
        <v>-7.8196250633338975</v>
      </c>
      <c r="AK11" s="160">
        <f t="shared" si="12"/>
        <v>3.9396286035006787</v>
      </c>
      <c r="AL11" s="160">
        <f t="shared" si="13"/>
        <v>0.03733216130873109</v>
      </c>
      <c r="AM11" s="161"/>
      <c r="AN11" s="157">
        <f>'Feb 13(1)'!O10/'Feb 13 (4&amp;5)'!O11*100</f>
        <v>37.873434337909536</v>
      </c>
      <c r="AO11" s="157">
        <f>'Feb 13(1)'!P10/'Feb 13 (4&amp;5)'!P11*100</f>
        <v>55.46235565819862</v>
      </c>
      <c r="AP11" s="157">
        <f>'Feb 13(1)'!Q10/'Feb 13 (4&amp;5)'!Q11*100</f>
        <v>81.98831915592997</v>
      </c>
      <c r="AQ11" s="157">
        <f>'Feb 13(1)'!R10/'Feb 13 (4&amp;5)'!R11*100</f>
        <v>73.2662327538392</v>
      </c>
      <c r="AR11" s="157">
        <f>'Feb 13(1)'!C10/'Feb 13 (4&amp;5)'!C11*100</f>
        <v>38.67328247083466</v>
      </c>
      <c r="AS11" s="157">
        <f>'Feb 13(1)'!D10/'Feb 13 (4&amp;5)'!D11*100</f>
        <v>60.16720554272518</v>
      </c>
      <c r="AT11" s="157">
        <f>'Feb 13(1)'!E10/'Feb 13 (4&amp;5)'!E11*100</f>
        <v>78.88071206093247</v>
      </c>
      <c r="AU11" s="157">
        <f>'Feb 13(1)'!F10/'Feb 13 (4&amp;5)'!F11*100</f>
        <v>70.62948155526597</v>
      </c>
      <c r="AV11" s="7"/>
      <c r="AW11" s="7"/>
      <c r="AX11" s="8"/>
      <c r="AY11" s="8"/>
      <c r="AZ11" s="8"/>
      <c r="BA11" s="8"/>
      <c r="BB11" s="8"/>
      <c r="BC11" s="8"/>
      <c r="BD11" s="8"/>
      <c r="BE11" s="8"/>
      <c r="BF11" s="8"/>
      <c r="BO11" s="4" t="s">
        <v>4</v>
      </c>
    </row>
    <row r="12" spans="1:67" ht="21" customHeight="1">
      <c r="A12" s="30">
        <v>6</v>
      </c>
      <c r="B12" s="31" t="s">
        <v>32</v>
      </c>
      <c r="C12" s="34">
        <v>3288026</v>
      </c>
      <c r="D12" s="34">
        <v>357250</v>
      </c>
      <c r="E12" s="34">
        <v>4384707</v>
      </c>
      <c r="F12" s="32">
        <f t="shared" si="0"/>
        <v>8029983</v>
      </c>
      <c r="G12" s="177"/>
      <c r="H12" s="315"/>
      <c r="I12" s="315"/>
      <c r="J12" s="32">
        <f t="shared" si="1"/>
        <v>0</v>
      </c>
      <c r="K12" s="34">
        <v>3148309</v>
      </c>
      <c r="L12" s="34">
        <v>352750</v>
      </c>
      <c r="M12" s="34">
        <v>4548846</v>
      </c>
      <c r="N12" s="32">
        <f t="shared" si="2"/>
        <v>8049905</v>
      </c>
      <c r="O12" s="34">
        <v>3148373</v>
      </c>
      <c r="P12" s="34">
        <v>352750</v>
      </c>
      <c r="Q12" s="34">
        <v>4548846</v>
      </c>
      <c r="R12" s="34">
        <f>O12+P12+Q12</f>
        <v>8049969</v>
      </c>
      <c r="S12" s="32">
        <f t="shared" si="4"/>
        <v>64</v>
      </c>
      <c r="T12" s="32">
        <f t="shared" si="5"/>
        <v>0</v>
      </c>
      <c r="U12" s="32">
        <f t="shared" si="6"/>
        <v>0</v>
      </c>
      <c r="V12" s="32">
        <f t="shared" si="7"/>
        <v>64</v>
      </c>
      <c r="W12" s="441">
        <f t="shared" si="8"/>
        <v>-139653</v>
      </c>
      <c r="X12" s="32">
        <f t="shared" si="9"/>
        <v>-4500</v>
      </c>
      <c r="Y12" s="34">
        <f t="shared" si="10"/>
        <v>164139</v>
      </c>
      <c r="Z12" s="34">
        <f t="shared" si="11"/>
        <v>19986</v>
      </c>
      <c r="AA12" s="35">
        <v>0</v>
      </c>
      <c r="AB12" s="231">
        <v>0</v>
      </c>
      <c r="AC12" s="231">
        <v>0</v>
      </c>
      <c r="AD12" s="231"/>
      <c r="AE12" s="35">
        <v>0</v>
      </c>
      <c r="AF12" s="231">
        <v>0</v>
      </c>
      <c r="AG12" s="231">
        <v>0</v>
      </c>
      <c r="AH12" s="231"/>
      <c r="AI12" s="160">
        <f t="shared" si="12"/>
        <v>2.2613337797880604</v>
      </c>
      <c r="AJ12" s="160">
        <f t="shared" si="12"/>
        <v>-45.691960529530014</v>
      </c>
      <c r="AK12" s="160">
        <f t="shared" si="12"/>
        <v>0.11132677289649189</v>
      </c>
      <c r="AL12" s="160">
        <f t="shared" si="13"/>
        <v>-0.00016277418401928098</v>
      </c>
      <c r="AM12" s="161"/>
      <c r="AN12" s="157">
        <f>'Feb 13(1)'!O11/'Feb 13 (4&amp;5)'!O12*100</f>
        <v>49.71920417307606</v>
      </c>
      <c r="AO12" s="157">
        <f>'Feb 13(1)'!P11/'Feb 13 (4&amp;5)'!P12*100</f>
        <v>35.25074415308292</v>
      </c>
      <c r="AP12" s="157">
        <f>'Feb 13(1)'!Q11/'Feb 13 (4&amp;5)'!Q12*100</f>
        <v>91.34459597005483</v>
      </c>
      <c r="AQ12" s="157">
        <f>'Feb 13(1)'!R11/'Feb 13 (4&amp;5)'!R12*100</f>
        <v>72.60671438610508</v>
      </c>
      <c r="AR12" s="157">
        <f>'Feb 13(1)'!C11/'Feb 13 (4&amp;5)'!C12*100</f>
        <v>48.61974935721311</v>
      </c>
      <c r="AS12" s="157">
        <f>'Feb 13(1)'!D11/'Feb 13 (4&amp;5)'!D12*100</f>
        <v>64.90888733379985</v>
      </c>
      <c r="AT12" s="157">
        <f>'Feb 13(1)'!E11/'Feb 13 (4&amp;5)'!E12*100</f>
        <v>91.24301806255242</v>
      </c>
      <c r="AU12" s="157">
        <f>'Feb 13(1)'!F11/'Feb 13 (4&amp;5)'!F12*100</f>
        <v>72.61853480885327</v>
      </c>
      <c r="AV12" s="7"/>
      <c r="AW12" s="7"/>
      <c r="AX12" s="8"/>
      <c r="AY12" s="8"/>
      <c r="AZ12" s="8"/>
      <c r="BA12" s="8"/>
      <c r="BB12" s="8"/>
      <c r="BC12" s="8"/>
      <c r="BD12" s="8"/>
      <c r="BE12" s="8"/>
      <c r="BF12" s="8"/>
      <c r="BO12" s="4" t="s">
        <v>4</v>
      </c>
    </row>
    <row r="13" spans="1:67" ht="21" customHeight="1">
      <c r="A13" s="24">
        <v>7</v>
      </c>
      <c r="B13" s="44" t="s">
        <v>66</v>
      </c>
      <c r="C13" s="35">
        <v>1265760</v>
      </c>
      <c r="D13" s="35">
        <v>195500</v>
      </c>
      <c r="E13" s="35">
        <v>2105510</v>
      </c>
      <c r="F13" s="26">
        <f t="shared" si="0"/>
        <v>3566770</v>
      </c>
      <c r="G13" s="175"/>
      <c r="H13" s="313"/>
      <c r="I13" s="313"/>
      <c r="J13" s="26">
        <f t="shared" si="1"/>
        <v>0</v>
      </c>
      <c r="K13" s="35">
        <v>1245408</v>
      </c>
      <c r="L13" s="35">
        <v>195500</v>
      </c>
      <c r="M13" s="35">
        <v>2106210</v>
      </c>
      <c r="N13" s="26">
        <f t="shared" si="2"/>
        <v>3547118</v>
      </c>
      <c r="O13" s="35">
        <v>1213818</v>
      </c>
      <c r="P13" s="35">
        <v>195500</v>
      </c>
      <c r="Q13" s="35">
        <v>2169772</v>
      </c>
      <c r="R13" s="35">
        <f t="shared" si="3"/>
        <v>3579090</v>
      </c>
      <c r="S13" s="35">
        <f t="shared" si="4"/>
        <v>-31590</v>
      </c>
      <c r="T13" s="26">
        <f t="shared" si="5"/>
        <v>0</v>
      </c>
      <c r="U13" s="26">
        <f t="shared" si="6"/>
        <v>63562</v>
      </c>
      <c r="V13" s="26">
        <f t="shared" si="7"/>
        <v>31972</v>
      </c>
      <c r="W13" s="26">
        <f t="shared" si="8"/>
        <v>-51942</v>
      </c>
      <c r="X13" s="26">
        <f t="shared" si="9"/>
        <v>0</v>
      </c>
      <c r="Y13" s="26">
        <f t="shared" si="10"/>
        <v>64262</v>
      </c>
      <c r="Z13" s="26">
        <f t="shared" si="11"/>
        <v>12320</v>
      </c>
      <c r="AA13" s="35">
        <v>101290</v>
      </c>
      <c r="AB13" s="35">
        <v>57000</v>
      </c>
      <c r="AC13" s="35">
        <v>13464</v>
      </c>
      <c r="AD13" s="35">
        <v>7232258</v>
      </c>
      <c r="AE13" s="35">
        <v>0</v>
      </c>
      <c r="AF13" s="35">
        <v>0</v>
      </c>
      <c r="AG13" s="35">
        <v>0</v>
      </c>
      <c r="AH13" s="35">
        <v>0</v>
      </c>
      <c r="AI13" s="160">
        <f t="shared" si="12"/>
        <v>-2.908114848577147</v>
      </c>
      <c r="AJ13" s="160">
        <f t="shared" si="12"/>
        <v>-20.75986323998309</v>
      </c>
      <c r="AK13" s="160">
        <f t="shared" si="12"/>
        <v>-0.3674476961916633</v>
      </c>
      <c r="AL13" s="160">
        <f t="shared" si="13"/>
        <v>0.0068697280364609795</v>
      </c>
      <c r="AM13" s="160"/>
      <c r="AN13" s="157">
        <f>'Feb 13(1)'!O12/'Feb 13 (4&amp;5)'!O13*100</f>
        <v>41.649654231524</v>
      </c>
      <c r="AO13" s="157">
        <f>'Feb 13(1)'!P12/'Feb 13 (4&amp;5)'!P13*100</f>
        <v>10.550895140664963</v>
      </c>
      <c r="AP13" s="157">
        <f>'Feb 13(1)'!Q12/'Feb 13 (4&amp;5)'!Q13*100</f>
        <v>140.67694670223418</v>
      </c>
      <c r="AQ13" s="157">
        <f>'Feb 13(1)'!R12/'Feb 13 (4&amp;5)'!R13*100</f>
        <v>99.98482854580354</v>
      </c>
      <c r="AR13" s="157">
        <f>'Feb 13(1)'!C12/'Feb 13 (4&amp;5)'!C13*100</f>
        <v>42.89715269877386</v>
      </c>
      <c r="AS13" s="157">
        <f>'Feb 13(1)'!D12/'Feb 13 (4&amp;5)'!D13*100</f>
        <v>13.315089514066496</v>
      </c>
      <c r="AT13" s="157">
        <f>'Feb 13(1)'!E12/'Feb 13 (4&amp;5)'!E13*100</f>
        <v>141.19576729628452</v>
      </c>
      <c r="AU13" s="157">
        <f>'Feb 13(1)'!F12/'Feb 13 (4&amp;5)'!F13*100</f>
        <v>99.30264637192754</v>
      </c>
      <c r="AV13" s="7"/>
      <c r="AW13" s="7"/>
      <c r="AX13" s="8"/>
      <c r="AY13" s="8"/>
      <c r="AZ13" s="8"/>
      <c r="BA13" s="8"/>
      <c r="BB13" s="8"/>
      <c r="BC13" s="8"/>
      <c r="BD13" s="8"/>
      <c r="BE13" s="8"/>
      <c r="BF13" s="8"/>
      <c r="BO13" s="4" t="s">
        <v>4</v>
      </c>
    </row>
    <row r="14" spans="1:67" ht="21" customHeight="1">
      <c r="A14" s="27">
        <v>8</v>
      </c>
      <c r="B14" s="45" t="s">
        <v>67</v>
      </c>
      <c r="C14" s="33">
        <v>586330</v>
      </c>
      <c r="D14" s="33">
        <v>185250</v>
      </c>
      <c r="E14" s="33">
        <v>1053350</v>
      </c>
      <c r="F14" s="29">
        <f t="shared" si="0"/>
        <v>1824930</v>
      </c>
      <c r="G14" s="176"/>
      <c r="H14" s="314"/>
      <c r="I14" s="314"/>
      <c r="J14" s="29">
        <f t="shared" si="1"/>
        <v>0</v>
      </c>
      <c r="K14" s="33">
        <v>541988</v>
      </c>
      <c r="L14" s="33">
        <v>185750</v>
      </c>
      <c r="M14" s="33">
        <v>1053350</v>
      </c>
      <c r="N14" s="29">
        <f t="shared" si="2"/>
        <v>1781088</v>
      </c>
      <c r="O14" s="33">
        <v>541804</v>
      </c>
      <c r="P14" s="33">
        <v>185750</v>
      </c>
      <c r="Q14" s="33">
        <v>1053350</v>
      </c>
      <c r="R14" s="33">
        <f t="shared" si="3"/>
        <v>1780904</v>
      </c>
      <c r="S14" s="33">
        <f t="shared" si="4"/>
        <v>-184</v>
      </c>
      <c r="T14" s="29">
        <f t="shared" si="5"/>
        <v>0</v>
      </c>
      <c r="U14" s="29">
        <f t="shared" si="6"/>
        <v>0</v>
      </c>
      <c r="V14" s="29">
        <f t="shared" si="7"/>
        <v>-184</v>
      </c>
      <c r="W14" s="29">
        <f t="shared" si="8"/>
        <v>-44526</v>
      </c>
      <c r="X14" s="29">
        <f t="shared" si="9"/>
        <v>500</v>
      </c>
      <c r="Y14" s="29">
        <f t="shared" si="10"/>
        <v>0</v>
      </c>
      <c r="Z14" s="29">
        <f t="shared" si="11"/>
        <v>-44026</v>
      </c>
      <c r="AA14" s="35">
        <v>130</v>
      </c>
      <c r="AB14" s="35">
        <v>0</v>
      </c>
      <c r="AC14" s="35">
        <v>66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160">
        <f t="shared" si="12"/>
        <v>0.5120271545001022</v>
      </c>
      <c r="AJ14" s="160">
        <f aca="true" t="shared" si="14" ref="AJ14:AK33">(AO14-AS14)/AS14*100</f>
        <v>-13.609682581194049</v>
      </c>
      <c r="AK14" s="160">
        <f t="shared" si="12"/>
        <v>-3.302660652642922</v>
      </c>
      <c r="AL14" s="160">
        <f t="shared" si="13"/>
        <v>-0.01862325339785614</v>
      </c>
      <c r="AM14" s="161"/>
      <c r="AN14" s="157">
        <f>'Feb 13(1)'!O13/'Feb 13 (4&amp;5)'!O14*100</f>
        <v>51.743988601043924</v>
      </c>
      <c r="AO14" s="157">
        <f>'Feb 13(1)'!P13/'Feb 13 (4&amp;5)'!P14*100</f>
        <v>31.610228802153433</v>
      </c>
      <c r="AP14" s="157">
        <f>'Feb 13(1)'!Q13/'Feb 13 (4&amp;5)'!Q14*100</f>
        <v>147.77870603313238</v>
      </c>
      <c r="AQ14" s="157">
        <f>'Feb 13(1)'!R13/'Feb 13 (4&amp;5)'!R14*100</f>
        <v>106.44560290728752</v>
      </c>
      <c r="AR14" s="157">
        <f>'Feb 13(1)'!C13/'Feb 13 (4&amp;5)'!C14*100</f>
        <v>51.48039499940307</v>
      </c>
      <c r="AS14" s="157">
        <f>'Feb 13(1)'!D13/'Feb 13 (4&amp;5)'!D14*100</f>
        <v>36.59001349527665</v>
      </c>
      <c r="AT14" s="157">
        <f>'Feb 13(1)'!E13/'Feb 13 (4&amp;5)'!E14*100</f>
        <v>152.826031233683</v>
      </c>
      <c r="AU14" s="157">
        <f>'Feb 13(1)'!F13/'Feb 13 (4&amp;5)'!F14*100</f>
        <v>108.46558498134175</v>
      </c>
      <c r="AV14" s="7"/>
      <c r="AW14" s="7"/>
      <c r="AX14" s="8"/>
      <c r="AY14" s="8"/>
      <c r="AZ14" s="8"/>
      <c r="BA14" s="8"/>
      <c r="BB14" s="8"/>
      <c r="BC14" s="8"/>
      <c r="BD14" s="8"/>
      <c r="BE14" s="8"/>
      <c r="BF14" s="8"/>
      <c r="BO14" s="4" t="s">
        <v>4</v>
      </c>
    </row>
    <row r="15" spans="1:58" ht="21" customHeight="1">
      <c r="A15" s="30">
        <v>9</v>
      </c>
      <c r="B15" s="31" t="s">
        <v>33</v>
      </c>
      <c r="C15" s="34">
        <v>368056</v>
      </c>
      <c r="D15" s="34">
        <v>192000</v>
      </c>
      <c r="E15" s="34">
        <v>1229485</v>
      </c>
      <c r="F15" s="32">
        <f t="shared" si="0"/>
        <v>1789541</v>
      </c>
      <c r="G15" s="177"/>
      <c r="H15" s="315"/>
      <c r="I15" s="315"/>
      <c r="J15" s="32">
        <f t="shared" si="1"/>
        <v>0</v>
      </c>
      <c r="K15" s="34">
        <v>358908</v>
      </c>
      <c r="L15" s="34">
        <v>192000</v>
      </c>
      <c r="M15" s="34">
        <v>1310724</v>
      </c>
      <c r="N15" s="32">
        <f t="shared" si="2"/>
        <v>1861632</v>
      </c>
      <c r="O15" s="34">
        <v>358908</v>
      </c>
      <c r="P15" s="34">
        <v>192000</v>
      </c>
      <c r="Q15" s="34">
        <v>1310724</v>
      </c>
      <c r="R15" s="34">
        <f t="shared" si="3"/>
        <v>1861632</v>
      </c>
      <c r="S15" s="34">
        <f t="shared" si="4"/>
        <v>0</v>
      </c>
      <c r="T15" s="32">
        <f t="shared" si="5"/>
        <v>0</v>
      </c>
      <c r="U15" s="32">
        <f t="shared" si="6"/>
        <v>0</v>
      </c>
      <c r="V15" s="32">
        <f t="shared" si="7"/>
        <v>0</v>
      </c>
      <c r="W15" s="32">
        <f t="shared" si="8"/>
        <v>-9148</v>
      </c>
      <c r="X15" s="32">
        <f t="shared" si="9"/>
        <v>0</v>
      </c>
      <c r="Y15" s="32">
        <f t="shared" si="10"/>
        <v>81239</v>
      </c>
      <c r="Z15" s="32">
        <f t="shared" si="11"/>
        <v>72091</v>
      </c>
      <c r="AA15" s="35">
        <v>0</v>
      </c>
      <c r="AB15" s="35">
        <v>1000</v>
      </c>
      <c r="AC15" s="231">
        <v>56713</v>
      </c>
      <c r="AD15" s="231">
        <v>0</v>
      </c>
      <c r="AE15" s="35">
        <v>0</v>
      </c>
      <c r="AF15" s="231">
        <v>0</v>
      </c>
      <c r="AG15" s="35">
        <v>0</v>
      </c>
      <c r="AH15" s="231">
        <v>0</v>
      </c>
      <c r="AI15" s="160">
        <f t="shared" si="12"/>
        <v>-1.0082325502905254</v>
      </c>
      <c r="AJ15" s="160">
        <f t="shared" si="14"/>
        <v>-9.94890959219139</v>
      </c>
      <c r="AK15" s="160">
        <f t="shared" si="12"/>
        <v>5.591632595433153</v>
      </c>
      <c r="AL15" s="160">
        <f t="shared" si="13"/>
        <v>0.04369924770359249</v>
      </c>
      <c r="AM15" s="161"/>
      <c r="AN15" s="157">
        <f>'Feb 13(1)'!O14/'Feb 13 (4&amp;5)'!O15*100</f>
        <v>54.85918396915087</v>
      </c>
      <c r="AO15" s="157">
        <f>'Feb 13(1)'!P14/'Feb 13 (4&amp;5)'!P15*100</f>
        <v>35.89427083333334</v>
      </c>
      <c r="AP15" s="157">
        <f>'Feb 13(1)'!Q14/'Feb 13 (4&amp;5)'!Q15*100</f>
        <v>83.29808563816638</v>
      </c>
      <c r="AQ15" s="157">
        <f>'Feb 13(1)'!R14/'Feb 13 (4&amp;5)'!R15*100</f>
        <v>72.92628188600109</v>
      </c>
      <c r="AR15" s="157">
        <f>'Feb 13(1)'!C14/'Feb 13 (4&amp;5)'!C15*100</f>
        <v>55.417925533071056</v>
      </c>
      <c r="AS15" s="157">
        <f>'Feb 13(1)'!D14/'Feb 13 (4&amp;5)'!D15*100</f>
        <v>39.85989583333333</v>
      </c>
      <c r="AT15" s="157">
        <f>'Feb 13(1)'!E14/'Feb 13 (4&amp;5)'!E15*100</f>
        <v>78.88701366832454</v>
      </c>
      <c r="AU15" s="157">
        <f>'Feb 13(1)'!F14/'Feb 13 (4&amp;5)'!F15*100</f>
        <v>69.87288919337416</v>
      </c>
      <c r="AV15" s="7"/>
      <c r="AW15" s="7"/>
      <c r="AX15" s="8"/>
      <c r="AY15" s="8"/>
      <c r="AZ15" s="8"/>
      <c r="BA15" s="8"/>
      <c r="BB15" s="8"/>
      <c r="BC15" s="8"/>
      <c r="BD15" s="8"/>
      <c r="BE15" s="8"/>
      <c r="BF15" s="8"/>
    </row>
    <row r="16" spans="1:58" ht="21" customHeight="1">
      <c r="A16" s="24">
        <v>10</v>
      </c>
      <c r="B16" s="25" t="s">
        <v>6</v>
      </c>
      <c r="C16" s="35">
        <v>544259</v>
      </c>
      <c r="D16" s="35">
        <v>210250</v>
      </c>
      <c r="E16" s="35">
        <v>1689872</v>
      </c>
      <c r="F16" s="26">
        <f t="shared" si="0"/>
        <v>2444381</v>
      </c>
      <c r="G16" s="175"/>
      <c r="H16" s="313"/>
      <c r="I16" s="313"/>
      <c r="J16" s="26">
        <f t="shared" si="1"/>
        <v>0</v>
      </c>
      <c r="K16" s="35">
        <v>523799</v>
      </c>
      <c r="L16" s="35">
        <v>210250</v>
      </c>
      <c r="M16" s="35">
        <v>1731208</v>
      </c>
      <c r="N16" s="26">
        <f t="shared" si="2"/>
        <v>2465257</v>
      </c>
      <c r="O16" s="35">
        <v>523799</v>
      </c>
      <c r="P16" s="35">
        <v>210250</v>
      </c>
      <c r="Q16" s="35">
        <v>1731592</v>
      </c>
      <c r="R16" s="35">
        <f t="shared" si="3"/>
        <v>2465641</v>
      </c>
      <c r="S16" s="35">
        <f t="shared" si="4"/>
        <v>0</v>
      </c>
      <c r="T16" s="26">
        <f t="shared" si="5"/>
        <v>0</v>
      </c>
      <c r="U16" s="26">
        <f t="shared" si="6"/>
        <v>384</v>
      </c>
      <c r="V16" s="26">
        <f t="shared" si="7"/>
        <v>384</v>
      </c>
      <c r="W16" s="26">
        <f t="shared" si="8"/>
        <v>-20460</v>
      </c>
      <c r="X16" s="26">
        <f t="shared" si="9"/>
        <v>0</v>
      </c>
      <c r="Y16" s="26">
        <f t="shared" si="10"/>
        <v>41720</v>
      </c>
      <c r="Z16" s="35">
        <f t="shared" si="11"/>
        <v>21260</v>
      </c>
      <c r="AA16" s="35">
        <v>0</v>
      </c>
      <c r="AB16" s="35">
        <v>1750</v>
      </c>
      <c r="AC16" s="35">
        <v>15801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160">
        <f t="shared" si="12"/>
        <v>-22.29584989589772</v>
      </c>
      <c r="AJ16" s="160">
        <f t="shared" si="14"/>
        <v>-1.2109884547242085</v>
      </c>
      <c r="AK16" s="160">
        <f t="shared" si="12"/>
        <v>-3.2991241903326993</v>
      </c>
      <c r="AL16" s="160">
        <f t="shared" si="13"/>
        <v>-0.04486342095552273</v>
      </c>
      <c r="AM16" s="160"/>
      <c r="AN16" s="157">
        <f>'Feb 13(1)'!O15/'Feb 13 (4&amp;5)'!O16*100</f>
        <v>30.75091781389426</v>
      </c>
      <c r="AO16" s="157">
        <f>'Feb 13(1)'!P15/'Feb 13 (4&amp;5)'!P16*100</f>
        <v>48.26730083234245</v>
      </c>
      <c r="AP16" s="157">
        <f>'Feb 13(1)'!Q15/'Feb 13 (4&amp;5)'!Q16*100</f>
        <v>91.61476837499826</v>
      </c>
      <c r="AQ16" s="157">
        <f>'Feb 13(1)'!R15/'Feb 13 (4&amp;5)'!R16*100</f>
        <v>74.98857295121229</v>
      </c>
      <c r="AR16" s="157">
        <f>'Feb 13(1)'!C15/'Feb 13 (4&amp;5)'!C16*100</f>
        <v>39.57435706161956</v>
      </c>
      <c r="AS16" s="157">
        <f>'Feb 13(1)'!D15/'Feb 13 (4&amp;5)'!D16*100</f>
        <v>48.858977407847796</v>
      </c>
      <c r="AT16" s="157">
        <f>'Feb 13(1)'!E15/'Feb 13 (4&amp;5)'!E16*100</f>
        <v>94.74037086832612</v>
      </c>
      <c r="AU16" s="157">
        <f>'Feb 13(1)'!F15/'Feb 13 (4&amp;5)'!F16*100</f>
        <v>78.5108377131061</v>
      </c>
      <c r="AV16" s="7"/>
      <c r="AW16" s="7"/>
      <c r="AX16" s="8"/>
      <c r="AY16" s="8"/>
      <c r="AZ16" s="8"/>
      <c r="BA16" s="8"/>
      <c r="BB16" s="8"/>
      <c r="BC16" s="8"/>
      <c r="BD16" s="8"/>
      <c r="BE16" s="8"/>
      <c r="BF16" s="8"/>
    </row>
    <row r="17" spans="1:58" ht="21" customHeight="1">
      <c r="A17" s="27">
        <v>11</v>
      </c>
      <c r="B17" s="28" t="s">
        <v>34</v>
      </c>
      <c r="C17" s="33">
        <v>3328077</v>
      </c>
      <c r="D17" s="33">
        <v>568650</v>
      </c>
      <c r="E17" s="33">
        <v>5009775</v>
      </c>
      <c r="F17" s="29">
        <f t="shared" si="0"/>
        <v>8906502</v>
      </c>
      <c r="G17" s="176"/>
      <c r="H17" s="314"/>
      <c r="I17" s="314"/>
      <c r="J17" s="29">
        <f t="shared" si="1"/>
        <v>0</v>
      </c>
      <c r="K17" s="33">
        <v>3219136</v>
      </c>
      <c r="L17" s="33">
        <v>559750</v>
      </c>
      <c r="M17" s="33">
        <v>5030147</v>
      </c>
      <c r="N17" s="29">
        <f t="shared" si="2"/>
        <v>8809033</v>
      </c>
      <c r="O17" s="33">
        <v>3217904</v>
      </c>
      <c r="P17" s="33">
        <v>559750</v>
      </c>
      <c r="Q17" s="33">
        <v>5040197</v>
      </c>
      <c r="R17" s="33">
        <f t="shared" si="3"/>
        <v>8817851</v>
      </c>
      <c r="S17" s="33">
        <f t="shared" si="4"/>
        <v>-1232</v>
      </c>
      <c r="T17" s="29">
        <f t="shared" si="5"/>
        <v>0</v>
      </c>
      <c r="U17" s="29">
        <f t="shared" si="6"/>
        <v>10050</v>
      </c>
      <c r="V17" s="29">
        <f t="shared" si="7"/>
        <v>8818</v>
      </c>
      <c r="W17" s="362">
        <f t="shared" si="8"/>
        <v>-110173</v>
      </c>
      <c r="X17" s="29">
        <f t="shared" si="9"/>
        <v>-8900</v>
      </c>
      <c r="Y17" s="362">
        <f>Q17-E17</f>
        <v>30422</v>
      </c>
      <c r="Z17" s="29">
        <f t="shared" si="11"/>
        <v>-88651</v>
      </c>
      <c r="AA17" s="35">
        <v>0</v>
      </c>
      <c r="AB17" s="35">
        <v>0</v>
      </c>
      <c r="AC17" s="35">
        <v>6329</v>
      </c>
      <c r="AD17" s="35">
        <v>6000</v>
      </c>
      <c r="AE17" s="35">
        <v>0</v>
      </c>
      <c r="AF17" s="35">
        <v>0</v>
      </c>
      <c r="AG17" s="35">
        <v>0</v>
      </c>
      <c r="AH17" s="35">
        <v>0</v>
      </c>
      <c r="AI17" s="160">
        <f t="shared" si="12"/>
        <v>-10.823172878528059</v>
      </c>
      <c r="AJ17" s="160">
        <f t="shared" si="14"/>
        <v>-49.21904509511552</v>
      </c>
      <c r="AK17" s="160">
        <f t="shared" si="12"/>
        <v>4.492982615277519</v>
      </c>
      <c r="AL17" s="160">
        <f t="shared" si="13"/>
        <v>-0.0030693591549754394</v>
      </c>
      <c r="AM17" s="161"/>
      <c r="AN17" s="157">
        <f>'Feb 13(1)'!O16/'Feb 13 (4&amp;5)'!O17*100</f>
        <v>52.605795573764794</v>
      </c>
      <c r="AO17" s="157">
        <f>'Feb 13(1)'!P16/'Feb 13 (4&amp;5)'!P17*100</f>
        <v>32.30138454667262</v>
      </c>
      <c r="AP17" s="157">
        <f>'Feb 13(1)'!Q16/'Feb 13 (4&amp;5)'!Q17*100</f>
        <v>136.6807487881922</v>
      </c>
      <c r="AQ17" s="157">
        <f>'Feb 13(1)'!R16/'Feb 13 (4&amp;5)'!R17*100</f>
        <v>99.37330535523905</v>
      </c>
      <c r="AR17" s="157">
        <f>'Feb 13(1)'!C16/'Feb 13 (4&amp;5)'!C17*100</f>
        <v>58.9904320122401</v>
      </c>
      <c r="AS17" s="157">
        <f>'Feb 13(1)'!D16/'Feb 13 (4&amp;5)'!D17*100</f>
        <v>63.60924997801811</v>
      </c>
      <c r="AT17" s="157">
        <f>'Feb 13(1)'!E16/'Feb 13 (4&amp;5)'!E17*100</f>
        <v>130.80375865183566</v>
      </c>
      <c r="AU17" s="157">
        <f>'Feb 13(1)'!F16/'Feb 13 (4&amp;5)'!F17*100</f>
        <v>99.67925679464284</v>
      </c>
      <c r="AV17" s="7"/>
      <c r="AW17" s="7"/>
      <c r="AX17" s="8"/>
      <c r="AY17" s="8"/>
      <c r="AZ17" s="8"/>
      <c r="BA17" s="8"/>
      <c r="BB17" s="8"/>
      <c r="BC17" s="8"/>
      <c r="BD17" s="8"/>
      <c r="BE17" s="8"/>
      <c r="BF17" s="8"/>
    </row>
    <row r="18" spans="1:58" ht="21" customHeight="1">
      <c r="A18" s="30">
        <v>12</v>
      </c>
      <c r="B18" s="31" t="s">
        <v>35</v>
      </c>
      <c r="C18" s="34">
        <v>3923131</v>
      </c>
      <c r="D18" s="34">
        <v>926500</v>
      </c>
      <c r="E18" s="34">
        <v>5301690</v>
      </c>
      <c r="F18" s="32">
        <f t="shared" si="0"/>
        <v>10151321</v>
      </c>
      <c r="G18" s="177"/>
      <c r="H18" s="315"/>
      <c r="I18" s="315"/>
      <c r="J18" s="32">
        <f t="shared" si="1"/>
        <v>0</v>
      </c>
      <c r="K18" s="34">
        <v>3855195</v>
      </c>
      <c r="L18" s="34">
        <v>926500</v>
      </c>
      <c r="M18" s="34">
        <v>5395744</v>
      </c>
      <c r="N18" s="32">
        <f t="shared" si="2"/>
        <v>10177439</v>
      </c>
      <c r="O18" s="34">
        <v>3853354</v>
      </c>
      <c r="P18" s="34">
        <v>926500</v>
      </c>
      <c r="Q18" s="34">
        <v>5397614</v>
      </c>
      <c r="R18" s="34">
        <f t="shared" si="3"/>
        <v>10177468</v>
      </c>
      <c r="S18" s="32">
        <f t="shared" si="4"/>
        <v>-1841</v>
      </c>
      <c r="T18" s="32">
        <f t="shared" si="5"/>
        <v>0</v>
      </c>
      <c r="U18" s="32">
        <f t="shared" si="6"/>
        <v>1870</v>
      </c>
      <c r="V18" s="32">
        <f t="shared" si="7"/>
        <v>29</v>
      </c>
      <c r="W18" s="32">
        <f t="shared" si="8"/>
        <v>-69777</v>
      </c>
      <c r="X18" s="32">
        <f t="shared" si="9"/>
        <v>0</v>
      </c>
      <c r="Y18" s="32">
        <f t="shared" si="10"/>
        <v>95924</v>
      </c>
      <c r="Z18" s="34">
        <f t="shared" si="11"/>
        <v>26147</v>
      </c>
      <c r="AA18" s="35">
        <v>50500</v>
      </c>
      <c r="AB18" s="35">
        <v>2000</v>
      </c>
      <c r="AC18" s="35">
        <v>4827</v>
      </c>
      <c r="AD18" s="35">
        <v>251942</v>
      </c>
      <c r="AE18" s="35">
        <v>0</v>
      </c>
      <c r="AF18" s="35">
        <v>0</v>
      </c>
      <c r="AG18" s="35">
        <v>0</v>
      </c>
      <c r="AH18" s="35">
        <v>410805</v>
      </c>
      <c r="AI18" s="160">
        <f t="shared" si="12"/>
        <v>-1.8635498005090771</v>
      </c>
      <c r="AJ18" s="160">
        <f t="shared" si="14"/>
        <v>-13.417107361207206</v>
      </c>
      <c r="AK18" s="160">
        <f t="shared" si="12"/>
        <v>7.464082631487878</v>
      </c>
      <c r="AL18" s="160">
        <f t="shared" si="13"/>
        <v>0.044634605035808</v>
      </c>
      <c r="AM18" s="161"/>
      <c r="AN18" s="157">
        <f>'Feb 13(1)'!O17/'Feb 13 (4&amp;5)'!O18*100</f>
        <v>76.68005586821248</v>
      </c>
      <c r="AO18" s="157">
        <f>'Feb 13(1)'!P17/'Feb 13 (4&amp;5)'!P18*100</f>
        <v>31.47253103076093</v>
      </c>
      <c r="AP18" s="157">
        <f>'Feb 13(1)'!Q17/'Feb 13 (4&amp;5)'!Q18*100</f>
        <v>137.3413511970289</v>
      </c>
      <c r="AQ18" s="157">
        <f>'Feb 13(1)'!R17/'Feb 13 (4&amp;5)'!R18*100</f>
        <v>104.73629590385349</v>
      </c>
      <c r="AR18" s="157">
        <f>'Feb 13(1)'!C17/'Feb 13 (4&amp;5)'!C18*100</f>
        <v>78.13616216231372</v>
      </c>
      <c r="AS18" s="157">
        <f>'Feb 13(1)'!D17/'Feb 13 (4&amp;5)'!D18*100</f>
        <v>36.34959525094442</v>
      </c>
      <c r="AT18" s="157">
        <f>'Feb 13(1)'!E17/'Feb 13 (4&amp;5)'!E18*100</f>
        <v>127.80209706716161</v>
      </c>
      <c r="AU18" s="157">
        <f>'Feb 13(1)'!F17/'Feb 13 (4&amp;5)'!F18*100</f>
        <v>100.26117783094438</v>
      </c>
      <c r="AV18" s="7"/>
      <c r="AW18" s="7"/>
      <c r="AX18" s="8"/>
      <c r="AY18" s="8"/>
      <c r="AZ18" s="8"/>
      <c r="BA18" s="8"/>
      <c r="BB18" s="8"/>
      <c r="BC18" s="8"/>
      <c r="BD18" s="8"/>
      <c r="BE18" s="8"/>
      <c r="BF18" s="8"/>
    </row>
    <row r="19" spans="1:58" ht="21" customHeight="1">
      <c r="A19" s="24">
        <v>13</v>
      </c>
      <c r="B19" s="25" t="s">
        <v>68</v>
      </c>
      <c r="C19" s="35">
        <v>1519828</v>
      </c>
      <c r="D19" s="35">
        <v>671250</v>
      </c>
      <c r="E19" s="35">
        <v>3101320</v>
      </c>
      <c r="F19" s="26">
        <f t="shared" si="0"/>
        <v>5292398</v>
      </c>
      <c r="G19" s="175"/>
      <c r="H19" s="313"/>
      <c r="I19" s="313"/>
      <c r="J19" s="26">
        <f t="shared" si="1"/>
        <v>0</v>
      </c>
      <c r="K19" s="35">
        <v>1469982</v>
      </c>
      <c r="L19" s="35">
        <v>672000</v>
      </c>
      <c r="M19" s="35">
        <v>3151790</v>
      </c>
      <c r="N19" s="26">
        <f t="shared" si="2"/>
        <v>5293772</v>
      </c>
      <c r="O19" s="35">
        <v>1470272</v>
      </c>
      <c r="P19" s="35">
        <v>672000</v>
      </c>
      <c r="Q19" s="35">
        <v>3162400</v>
      </c>
      <c r="R19" s="35">
        <f t="shared" si="3"/>
        <v>5304672</v>
      </c>
      <c r="S19" s="26">
        <f t="shared" si="4"/>
        <v>290</v>
      </c>
      <c r="T19" s="26">
        <f t="shared" si="5"/>
        <v>0</v>
      </c>
      <c r="U19" s="26">
        <f t="shared" si="6"/>
        <v>10610</v>
      </c>
      <c r="V19" s="26">
        <f t="shared" si="7"/>
        <v>10900</v>
      </c>
      <c r="W19" s="26">
        <f t="shared" si="8"/>
        <v>-49556</v>
      </c>
      <c r="X19" s="26">
        <f t="shared" si="9"/>
        <v>750</v>
      </c>
      <c r="Y19" s="26">
        <f t="shared" si="10"/>
        <v>61080</v>
      </c>
      <c r="Z19" s="26">
        <f t="shared" si="11"/>
        <v>12274</v>
      </c>
      <c r="AA19" s="35">
        <v>0</v>
      </c>
      <c r="AB19" s="35">
        <v>6750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160">
        <f t="shared" si="12"/>
        <v>1.6989293034180286</v>
      </c>
      <c r="AJ19" s="160">
        <f t="shared" si="14"/>
        <v>-38.401357197436276</v>
      </c>
      <c r="AK19" s="160">
        <f t="shared" si="12"/>
        <v>5.460669091615181</v>
      </c>
      <c r="AL19" s="160">
        <f t="shared" si="13"/>
        <v>0.03956795564058193</v>
      </c>
      <c r="AM19" s="160"/>
      <c r="AN19" s="157">
        <f>'Feb 13(1)'!O18/'Feb 13 (4&amp;5)'!O19*100</f>
        <v>47.102304879641316</v>
      </c>
      <c r="AO19" s="157">
        <f>'Feb 13(1)'!P18/'Feb 13 (4&amp;5)'!P19*100</f>
        <v>13.93125</v>
      </c>
      <c r="AP19" s="157">
        <f>'Feb 13(1)'!Q18/'Feb 13 (4&amp;5)'!Q19*100</f>
        <v>107.41579180369341</v>
      </c>
      <c r="AQ19" s="157">
        <f>'Feb 13(1)'!R18/'Feb 13 (4&amp;5)'!R19*100</f>
        <v>78.85627989817277</v>
      </c>
      <c r="AR19" s="157">
        <f>'Feb 13(1)'!C18/'Feb 13 (4&amp;5)'!C19*100</f>
        <v>46.31543832591583</v>
      </c>
      <c r="AS19" s="157">
        <f>'Feb 13(1)'!D18/'Feb 13 (4&amp;5)'!D19*100</f>
        <v>22.616163873370574</v>
      </c>
      <c r="AT19" s="157">
        <f>'Feb 13(1)'!E18/'Feb 13 (4&amp;5)'!E19*100</f>
        <v>101.85388802187457</v>
      </c>
      <c r="AU19" s="157">
        <f>'Feb 13(1)'!F18/'Feb 13 (4&amp;5)'!F19*100</f>
        <v>75.85485823250633</v>
      </c>
      <c r="AV19" s="7"/>
      <c r="AW19" s="7"/>
      <c r="AX19" s="8"/>
      <c r="AY19" s="8"/>
      <c r="AZ19" s="8"/>
      <c r="BA19" s="8"/>
      <c r="BB19" s="8"/>
      <c r="BC19" s="8"/>
      <c r="BD19" s="8"/>
      <c r="BE19" s="8"/>
      <c r="BF19" s="8"/>
    </row>
    <row r="20" spans="1:58" ht="21" customHeight="1">
      <c r="A20" s="27">
        <v>14</v>
      </c>
      <c r="B20" s="28" t="s">
        <v>36</v>
      </c>
      <c r="C20" s="341">
        <v>4635924</v>
      </c>
      <c r="D20" s="341">
        <v>792500</v>
      </c>
      <c r="E20" s="333">
        <v>5688045</v>
      </c>
      <c r="F20" s="29">
        <f t="shared" si="0"/>
        <v>11116469</v>
      </c>
      <c r="G20" s="176"/>
      <c r="H20" s="314"/>
      <c r="I20" s="314"/>
      <c r="J20" s="29">
        <f t="shared" si="1"/>
        <v>0</v>
      </c>
      <c r="K20" s="341">
        <v>4348212</v>
      </c>
      <c r="L20" s="341">
        <v>777250</v>
      </c>
      <c r="M20" s="333">
        <v>6324856</v>
      </c>
      <c r="N20" s="29">
        <f t="shared" si="2"/>
        <v>11450318</v>
      </c>
      <c r="O20" s="456">
        <v>4328419</v>
      </c>
      <c r="P20" s="456">
        <v>777250</v>
      </c>
      <c r="Q20" s="457">
        <v>6326393</v>
      </c>
      <c r="R20" s="33">
        <f t="shared" si="3"/>
        <v>11432062</v>
      </c>
      <c r="S20" s="29">
        <f t="shared" si="4"/>
        <v>-19793</v>
      </c>
      <c r="T20" s="362">
        <f>P20-L20</f>
        <v>0</v>
      </c>
      <c r="U20" s="29">
        <f t="shared" si="6"/>
        <v>1537</v>
      </c>
      <c r="V20" s="29">
        <f t="shared" si="7"/>
        <v>-18256</v>
      </c>
      <c r="W20" s="362">
        <f t="shared" si="8"/>
        <v>-307505</v>
      </c>
      <c r="X20" s="29">
        <f t="shared" si="9"/>
        <v>-15250</v>
      </c>
      <c r="Y20" s="29">
        <f t="shared" si="10"/>
        <v>638348</v>
      </c>
      <c r="Z20" s="29">
        <f t="shared" si="11"/>
        <v>315593</v>
      </c>
      <c r="AA20" s="35">
        <v>0</v>
      </c>
      <c r="AB20" s="35">
        <v>750</v>
      </c>
      <c r="AC20" s="35">
        <v>25213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160">
        <f t="shared" si="12"/>
        <v>-1.224013507381479</v>
      </c>
      <c r="AJ20" s="160">
        <f t="shared" si="14"/>
        <v>-24.481062946773907</v>
      </c>
      <c r="AK20" s="160">
        <f t="shared" si="12"/>
        <v>-0.7187592024224128</v>
      </c>
      <c r="AL20" s="160">
        <f t="shared" si="13"/>
        <v>0.018318712216892918</v>
      </c>
      <c r="AM20" s="161"/>
      <c r="AN20" s="157">
        <f>'Feb 13(1)'!O19/'Feb 13 (4&amp;5)'!O20*100</f>
        <v>47.73086893852005</v>
      </c>
      <c r="AO20" s="157">
        <f>'Feb 13(1)'!P19/'Feb 13 (4&amp;5)'!P20*100</f>
        <v>19.634351881633965</v>
      </c>
      <c r="AP20" s="157">
        <f>'Feb 13(1)'!Q19/'Feb 13 (4&amp;5)'!Q20*100</f>
        <v>105.0756726621315</v>
      </c>
      <c r="AQ20" s="157">
        <f>'Feb 13(1)'!R19/'Feb 13 (4&amp;5)'!R20*100</f>
        <v>77.55468785946053</v>
      </c>
      <c r="AR20" s="157">
        <f>'Feb 13(1)'!C19/'Feb 13 (4&amp;5)'!C20*100</f>
        <v>48.32234091844474</v>
      </c>
      <c r="AS20" s="157">
        <f>'Feb 13(1)'!D19/'Feb 13 (4&amp;5)'!D20*100</f>
        <v>25.999242902208202</v>
      </c>
      <c r="AT20" s="157">
        <f>'Feb 13(1)'!E19/'Feb 13 (4&amp;5)'!E20*100</f>
        <v>105.83638139290387</v>
      </c>
      <c r="AU20" s="157">
        <f>'Feb 13(1)'!F19/'Feb 13 (4&amp;5)'!F20*100</f>
        <v>76.1595431067185</v>
      </c>
      <c r="AV20" s="7"/>
      <c r="AW20" s="7"/>
      <c r="AX20" s="8"/>
      <c r="AY20" s="8"/>
      <c r="AZ20" s="8"/>
      <c r="BA20" s="8"/>
      <c r="BB20" s="8"/>
      <c r="BC20" s="8"/>
      <c r="BD20" s="8"/>
      <c r="BE20" s="8"/>
      <c r="BF20" s="8"/>
    </row>
    <row r="21" spans="1:58" ht="21" customHeight="1">
      <c r="A21" s="30">
        <v>15</v>
      </c>
      <c r="B21" s="31" t="s">
        <v>13</v>
      </c>
      <c r="C21" s="34">
        <v>255108</v>
      </c>
      <c r="D21" s="34">
        <v>100700</v>
      </c>
      <c r="E21" s="34">
        <v>600702</v>
      </c>
      <c r="F21" s="32">
        <f t="shared" si="0"/>
        <v>956510</v>
      </c>
      <c r="G21" s="177"/>
      <c r="H21" s="315"/>
      <c r="I21" s="315"/>
      <c r="J21" s="32">
        <f t="shared" si="1"/>
        <v>0</v>
      </c>
      <c r="K21" s="34">
        <v>254628</v>
      </c>
      <c r="L21" s="34">
        <v>101550</v>
      </c>
      <c r="M21" s="34">
        <v>617302</v>
      </c>
      <c r="N21" s="32">
        <f t="shared" si="2"/>
        <v>973480</v>
      </c>
      <c r="O21" s="34">
        <v>254628</v>
      </c>
      <c r="P21" s="34">
        <v>101550</v>
      </c>
      <c r="Q21" s="34">
        <v>620602</v>
      </c>
      <c r="R21" s="34">
        <f t="shared" si="3"/>
        <v>976780</v>
      </c>
      <c r="S21" s="32">
        <f t="shared" si="4"/>
        <v>0</v>
      </c>
      <c r="T21" s="32">
        <f t="shared" si="5"/>
        <v>0</v>
      </c>
      <c r="U21" s="32">
        <f t="shared" si="6"/>
        <v>3300</v>
      </c>
      <c r="V21" s="32">
        <f t="shared" si="7"/>
        <v>3300</v>
      </c>
      <c r="W21" s="32">
        <f t="shared" si="8"/>
        <v>-480</v>
      </c>
      <c r="X21" s="32">
        <f t="shared" si="9"/>
        <v>850</v>
      </c>
      <c r="Y21" s="32">
        <f t="shared" si="10"/>
        <v>19900</v>
      </c>
      <c r="Z21" s="34">
        <f t="shared" si="11"/>
        <v>20270</v>
      </c>
      <c r="AA21" s="35">
        <v>0</v>
      </c>
      <c r="AB21" s="35">
        <v>3500</v>
      </c>
      <c r="AC21" s="35">
        <v>1635</v>
      </c>
      <c r="AD21" s="35">
        <v>13500</v>
      </c>
      <c r="AE21" s="35">
        <v>0</v>
      </c>
      <c r="AF21" s="35">
        <v>0</v>
      </c>
      <c r="AG21" s="35">
        <v>0</v>
      </c>
      <c r="AH21" s="35">
        <v>0</v>
      </c>
      <c r="AI21" s="160">
        <f t="shared" si="12"/>
        <v>-0.9745887123179401</v>
      </c>
      <c r="AJ21" s="160">
        <f t="shared" si="14"/>
        <v>-10.437029597590245</v>
      </c>
      <c r="AK21" s="160">
        <f t="shared" si="12"/>
        <v>13.752813970800732</v>
      </c>
      <c r="AL21" s="160">
        <f t="shared" si="13"/>
        <v>0.10240521162290168</v>
      </c>
      <c r="AM21" s="161"/>
      <c r="AN21" s="157">
        <f>'Feb 13(1)'!O20/'Feb 13 (4&amp;5)'!O21*100</f>
        <v>54.73592849176053</v>
      </c>
      <c r="AO21" s="157">
        <f>'Feb 13(1)'!P20/'Feb 13 (4&amp;5)'!P21*100</f>
        <v>67.42392909896603</v>
      </c>
      <c r="AP21" s="157">
        <f>'Feb 13(1)'!Q20/'Feb 13 (4&amp;5)'!Q21*100</f>
        <v>138.81054202210112</v>
      </c>
      <c r="AQ21" s="157">
        <f>'Feb 13(1)'!R20/'Feb 13 (4&amp;5)'!R21*100</f>
        <v>109.47224554147301</v>
      </c>
      <c r="AR21" s="157">
        <f>'Feb 13(1)'!C20/'Feb 13 (4&amp;5)'!C21*100</f>
        <v>55.274628784671584</v>
      </c>
      <c r="AS21" s="157">
        <f>'Feb 13(1)'!D20/'Feb 13 (4&amp;5)'!D21*100</f>
        <v>75.28103277060576</v>
      </c>
      <c r="AT21" s="157">
        <f>'Feb 13(1)'!E20/'Feb 13 (4&amp;5)'!E21*100</f>
        <v>122.02822697443992</v>
      </c>
      <c r="AU21" s="157">
        <f>'Feb 13(1)'!F20/'Feb 13 (4&amp;5)'!F21*100</f>
        <v>99.3030914470314</v>
      </c>
      <c r="AV21" s="7"/>
      <c r="AW21" s="7"/>
      <c r="AX21" s="8"/>
      <c r="AY21" s="8"/>
      <c r="AZ21" s="8"/>
      <c r="BA21" s="8"/>
      <c r="BB21" s="8"/>
      <c r="BC21" s="8"/>
      <c r="BD21" s="8"/>
      <c r="BE21" s="8"/>
      <c r="BF21" s="8"/>
    </row>
    <row r="22" spans="1:58" ht="21" customHeight="1">
      <c r="A22" s="27">
        <v>16</v>
      </c>
      <c r="B22" s="45" t="s">
        <v>12</v>
      </c>
      <c r="C22" s="33">
        <v>205146</v>
      </c>
      <c r="D22" s="33">
        <v>115500</v>
      </c>
      <c r="E22" s="33">
        <v>584027</v>
      </c>
      <c r="F22" s="26">
        <f t="shared" si="0"/>
        <v>904673</v>
      </c>
      <c r="G22" s="175"/>
      <c r="H22" s="313"/>
      <c r="I22" s="313"/>
      <c r="J22" s="26">
        <f t="shared" si="1"/>
        <v>0</v>
      </c>
      <c r="K22" s="33">
        <v>203920</v>
      </c>
      <c r="L22" s="33">
        <v>115500</v>
      </c>
      <c r="M22" s="33">
        <v>593658</v>
      </c>
      <c r="N22" s="26">
        <f t="shared" si="2"/>
        <v>913078</v>
      </c>
      <c r="O22" s="33">
        <v>203920</v>
      </c>
      <c r="P22" s="33">
        <v>115500</v>
      </c>
      <c r="Q22" s="33">
        <v>593658</v>
      </c>
      <c r="R22" s="35">
        <f t="shared" si="3"/>
        <v>913078</v>
      </c>
      <c r="S22" s="26">
        <f t="shared" si="4"/>
        <v>0</v>
      </c>
      <c r="T22" s="26">
        <f t="shared" si="5"/>
        <v>0</v>
      </c>
      <c r="U22" s="26">
        <f t="shared" si="6"/>
        <v>0</v>
      </c>
      <c r="V22" s="26">
        <f t="shared" si="7"/>
        <v>0</v>
      </c>
      <c r="W22" s="26">
        <f t="shared" si="8"/>
        <v>-1226</v>
      </c>
      <c r="X22" s="26">
        <f t="shared" si="9"/>
        <v>0</v>
      </c>
      <c r="Y22" s="26">
        <f t="shared" si="10"/>
        <v>9631</v>
      </c>
      <c r="Z22" s="26">
        <f t="shared" si="11"/>
        <v>8405</v>
      </c>
      <c r="AA22" s="35">
        <v>0</v>
      </c>
      <c r="AB22" s="35">
        <v>0</v>
      </c>
      <c r="AC22" s="35">
        <v>962</v>
      </c>
      <c r="AD22" s="231">
        <v>0</v>
      </c>
      <c r="AE22" s="231">
        <v>0</v>
      </c>
      <c r="AF22" s="231">
        <v>0</v>
      </c>
      <c r="AG22" s="231">
        <v>0</v>
      </c>
      <c r="AH22" s="231">
        <v>0</v>
      </c>
      <c r="AI22" s="160">
        <f>(AN22-AR22)/AR22*100</f>
        <v>-29.848308249517974</v>
      </c>
      <c r="AJ22" s="160">
        <f t="shared" si="14"/>
        <v>5.721467391304337</v>
      </c>
      <c r="AK22" s="160">
        <f t="shared" si="12"/>
        <v>-1.8052862972521702</v>
      </c>
      <c r="AL22" s="160">
        <f t="shared" si="13"/>
        <v>-0.04241055590920999</v>
      </c>
      <c r="AM22" s="160"/>
      <c r="AN22" s="157">
        <f>'Feb 13(1)'!O21/'Feb 13 (4&amp;5)'!O22*100</f>
        <v>37.99823460180463</v>
      </c>
      <c r="AO22" s="157">
        <f>'Feb 13(1)'!P21/'Feb 13 (4&amp;5)'!P22*100</f>
        <v>67.36883116883116</v>
      </c>
      <c r="AP22" s="157">
        <f>'Feb 13(1)'!Q21/'Feb 13 (4&amp;5)'!Q22*100</f>
        <v>123.39579353769341</v>
      </c>
      <c r="AQ22" s="157">
        <f>'Feb 13(1)'!R21/'Feb 13 (4&amp;5)'!R22*100</f>
        <v>97.23659972094389</v>
      </c>
      <c r="AR22" s="157">
        <f>'Feb 13(1)'!C21/'Feb 13 (4&amp;5)'!C22*100</f>
        <v>54.165813615668846</v>
      </c>
      <c r="AS22" s="157">
        <f>'Feb 13(1)'!D21/'Feb 13 (4&amp;5)'!D22*100</f>
        <v>63.722943722943725</v>
      </c>
      <c r="AT22" s="157">
        <f>'Feb 13(1)'!E21/'Feb 13 (4&amp;5)'!E22*100</f>
        <v>125.6643956529407</v>
      </c>
      <c r="AU22" s="157">
        <f>'Feb 13(1)'!F21/'Feb 13 (4&amp;5)'!F22*100</f>
        <v>101.54309899820156</v>
      </c>
      <c r="AV22" s="7"/>
      <c r="AW22" s="7"/>
      <c r="AX22" s="8"/>
      <c r="AY22" s="8"/>
      <c r="AZ22" s="8"/>
      <c r="BA22" s="8"/>
      <c r="BB22" s="8"/>
      <c r="BC22" s="8"/>
      <c r="BD22" s="8"/>
      <c r="BE22" s="8"/>
      <c r="BF22" s="8"/>
    </row>
    <row r="23" spans="1:58" ht="21" customHeight="1">
      <c r="A23" s="27">
        <v>17</v>
      </c>
      <c r="B23" s="28" t="s">
        <v>69</v>
      </c>
      <c r="C23" s="33">
        <v>845160</v>
      </c>
      <c r="D23" s="33">
        <v>256750</v>
      </c>
      <c r="E23" s="33">
        <v>2141500</v>
      </c>
      <c r="F23" s="29">
        <f t="shared" si="0"/>
        <v>3243410</v>
      </c>
      <c r="G23" s="176"/>
      <c r="H23" s="314"/>
      <c r="I23" s="314"/>
      <c r="J23" s="29">
        <f t="shared" si="1"/>
        <v>0</v>
      </c>
      <c r="K23" s="33">
        <v>818066</v>
      </c>
      <c r="L23" s="33">
        <v>246750</v>
      </c>
      <c r="M23" s="33">
        <v>2141500</v>
      </c>
      <c r="N23" s="29">
        <f t="shared" si="2"/>
        <v>3206316</v>
      </c>
      <c r="O23" s="33">
        <v>820618</v>
      </c>
      <c r="P23" s="33">
        <v>246750</v>
      </c>
      <c r="Q23" s="33">
        <v>2141500</v>
      </c>
      <c r="R23" s="33">
        <f t="shared" si="3"/>
        <v>3208868</v>
      </c>
      <c r="S23" s="29">
        <f t="shared" si="4"/>
        <v>2552</v>
      </c>
      <c r="T23" s="362">
        <f t="shared" si="5"/>
        <v>0</v>
      </c>
      <c r="U23" s="29">
        <f t="shared" si="6"/>
        <v>0</v>
      </c>
      <c r="V23" s="29">
        <f t="shared" si="7"/>
        <v>2552</v>
      </c>
      <c r="W23" s="29">
        <f t="shared" si="8"/>
        <v>-24542</v>
      </c>
      <c r="X23" s="33">
        <f t="shared" si="9"/>
        <v>-10000</v>
      </c>
      <c r="Y23" s="33">
        <f t="shared" si="10"/>
        <v>0</v>
      </c>
      <c r="Z23" s="33">
        <f t="shared" si="11"/>
        <v>-34542</v>
      </c>
      <c r="AA23" s="35">
        <v>0</v>
      </c>
      <c r="AB23" s="35">
        <v>0</v>
      </c>
      <c r="AC23" s="35">
        <v>2459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157">
        <f aca="true" t="shared" si="15" ref="AI23:AI33">(AN23-AR23)/AR23*100</f>
        <v>-12.152706289098294</v>
      </c>
      <c r="AJ23" s="160">
        <f t="shared" si="14"/>
        <v>-41.688952337142425</v>
      </c>
      <c r="AK23" s="160">
        <f t="shared" si="14"/>
        <v>2.697001325599926</v>
      </c>
      <c r="AL23" s="160">
        <f t="shared" si="13"/>
        <v>0.009252142025714784</v>
      </c>
      <c r="AM23" s="161"/>
      <c r="AN23" s="157">
        <f>'Feb 13(1)'!O22/'Feb 13 (4&amp;5)'!O23*100</f>
        <v>46.92755947346999</v>
      </c>
      <c r="AO23" s="157">
        <f>'Feb 13(1)'!P22/'Feb 13 (4&amp;5)'!P23*100</f>
        <v>29.602026342451875</v>
      </c>
      <c r="AP23" s="157">
        <f>'Feb 13(1)'!Q22/'Feb 13 (4&amp;5)'!Q23*100</f>
        <v>206.89371935559188</v>
      </c>
      <c r="AQ23" s="157">
        <f>'Feb 13(1)'!R22/'Feb 13 (4&amp;5)'!R23*100</f>
        <v>152.35179508786277</v>
      </c>
      <c r="AR23" s="157">
        <f>'Feb 13(1)'!C22/'Feb 13 (4&amp;5)'!C23*100</f>
        <v>53.41947086942117</v>
      </c>
      <c r="AS23" s="157">
        <f>'Feb 13(1)'!D22/'Feb 13 (4&amp;5)'!D23*100</f>
        <v>50.76572541382668</v>
      </c>
      <c r="AT23" s="157">
        <f>'Feb 13(1)'!E22/'Feb 13 (4&amp;5)'!E23*100</f>
        <v>201.4603315433108</v>
      </c>
      <c r="AU23" s="157">
        <f>'Feb 13(1)'!F22/'Feb 13 (4&amp;5)'!F23*100</f>
        <v>150.9551367233868</v>
      </c>
      <c r="AV23" s="7"/>
      <c r="AW23" s="7"/>
      <c r="AX23" s="8"/>
      <c r="AY23" s="8"/>
      <c r="AZ23" s="8"/>
      <c r="BA23" s="8"/>
      <c r="BB23" s="8"/>
      <c r="BC23" s="8"/>
      <c r="BD23" s="8"/>
      <c r="BE23" s="8"/>
      <c r="BF23" s="8"/>
    </row>
    <row r="24" spans="1:58" ht="21" customHeight="1">
      <c r="A24" s="30">
        <v>18</v>
      </c>
      <c r="B24" s="31" t="s">
        <v>37</v>
      </c>
      <c r="C24" s="34">
        <v>2294106</v>
      </c>
      <c r="D24" s="34">
        <v>252400</v>
      </c>
      <c r="E24" s="34">
        <v>3235186</v>
      </c>
      <c r="F24" s="32">
        <f t="shared" si="0"/>
        <v>5781692</v>
      </c>
      <c r="G24" s="177"/>
      <c r="H24" s="315"/>
      <c r="I24" s="315"/>
      <c r="J24" s="32">
        <f t="shared" si="1"/>
        <v>0</v>
      </c>
      <c r="K24" s="34">
        <v>2254602</v>
      </c>
      <c r="L24" s="34">
        <v>250400</v>
      </c>
      <c r="M24" s="34">
        <v>3275797</v>
      </c>
      <c r="N24" s="32">
        <f t="shared" si="2"/>
        <v>5780799</v>
      </c>
      <c r="O24" s="34">
        <v>2254602</v>
      </c>
      <c r="P24" s="34">
        <v>250400</v>
      </c>
      <c r="Q24" s="34">
        <v>3276295</v>
      </c>
      <c r="R24" s="34">
        <f t="shared" si="3"/>
        <v>5781297</v>
      </c>
      <c r="S24" s="32">
        <f t="shared" si="4"/>
        <v>0</v>
      </c>
      <c r="T24" s="32">
        <f t="shared" si="5"/>
        <v>0</v>
      </c>
      <c r="U24" s="32">
        <f t="shared" si="6"/>
        <v>498</v>
      </c>
      <c r="V24" s="32">
        <f t="shared" si="7"/>
        <v>498</v>
      </c>
      <c r="W24" s="32">
        <f t="shared" si="8"/>
        <v>-39504</v>
      </c>
      <c r="X24" s="32">
        <f t="shared" si="9"/>
        <v>-2000</v>
      </c>
      <c r="Y24" s="34">
        <f t="shared" si="10"/>
        <v>41109</v>
      </c>
      <c r="Z24" s="34">
        <f t="shared" si="11"/>
        <v>-395</v>
      </c>
      <c r="AA24" s="35">
        <v>7156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157">
        <f t="shared" si="15"/>
        <v>-6.7815848398213365</v>
      </c>
      <c r="AJ24" s="160">
        <f t="shared" si="14"/>
        <v>-27.584970071182934</v>
      </c>
      <c r="AK24" s="160">
        <f t="shared" si="14"/>
        <v>-7.142441913488316</v>
      </c>
      <c r="AL24" s="160">
        <f t="shared" si="13"/>
        <v>-0.06633488597997995</v>
      </c>
      <c r="AM24" s="161"/>
      <c r="AN24" s="157">
        <f>'Feb 13(1)'!O23/'Feb 13 (4&amp;5)'!O24*100</f>
        <v>44.28755052998268</v>
      </c>
      <c r="AO24" s="157">
        <f>'Feb 13(1)'!P23/'Feb 13 (4&amp;5)'!P24*100</f>
        <v>16.428514376996805</v>
      </c>
      <c r="AP24" s="157">
        <f>'Feb 13(1)'!Q23/'Feb 13 (4&amp;5)'!Q24*100</f>
        <v>132.894229609971</v>
      </c>
      <c r="AQ24" s="157">
        <f>'Feb 13(1)'!R23/'Feb 13 (4&amp;5)'!R24*100</f>
        <v>93.2948437002977</v>
      </c>
      <c r="AR24" s="157">
        <f>'Feb 13(1)'!C23/'Feb 13 (4&amp;5)'!C24*100</f>
        <v>47.50944376589399</v>
      </c>
      <c r="AS24" s="157">
        <f>'Feb 13(1)'!D23/'Feb 13 (4&amp;5)'!D24*100</f>
        <v>22.68660855784469</v>
      </c>
      <c r="AT24" s="157">
        <f>'Feb 13(1)'!E23/'Feb 13 (4&amp;5)'!E24*100</f>
        <v>143.11622268395078</v>
      </c>
      <c r="AU24" s="157">
        <f>'Feb 13(1)'!F23/'Feb 13 (4&amp;5)'!F24*100</f>
        <v>99.92324046317236</v>
      </c>
      <c r="AV24" s="7"/>
      <c r="AW24" s="7"/>
      <c r="AX24" s="8"/>
      <c r="AY24" s="8"/>
      <c r="AZ24" s="8"/>
      <c r="BA24" s="8"/>
      <c r="BB24" s="8"/>
      <c r="BC24" s="8"/>
      <c r="BD24" s="8"/>
      <c r="BE24" s="8"/>
      <c r="BF24" s="8"/>
    </row>
    <row r="25" spans="1:58" ht="21" customHeight="1">
      <c r="A25" s="24">
        <v>19</v>
      </c>
      <c r="B25" s="25" t="s">
        <v>70</v>
      </c>
      <c r="C25" s="35">
        <v>2007204</v>
      </c>
      <c r="D25" s="35">
        <v>543350</v>
      </c>
      <c r="E25" s="35">
        <v>3908419</v>
      </c>
      <c r="F25" s="26">
        <f t="shared" si="0"/>
        <v>6458973</v>
      </c>
      <c r="G25" s="175"/>
      <c r="H25" s="313"/>
      <c r="I25" s="313"/>
      <c r="J25" s="26">
        <f t="shared" si="1"/>
        <v>0</v>
      </c>
      <c r="K25" s="374">
        <v>1961017</v>
      </c>
      <c r="L25" s="374">
        <v>543350</v>
      </c>
      <c r="M25" s="35">
        <v>3908694</v>
      </c>
      <c r="N25" s="26">
        <f t="shared" si="2"/>
        <v>6413061</v>
      </c>
      <c r="O25" s="458">
        <v>1959033</v>
      </c>
      <c r="P25" s="458">
        <v>543350</v>
      </c>
      <c r="Q25" s="35">
        <v>3908694</v>
      </c>
      <c r="R25" s="35">
        <f>O25+P25+Q25</f>
        <v>6411077</v>
      </c>
      <c r="S25" s="26">
        <f t="shared" si="4"/>
        <v>-1984</v>
      </c>
      <c r="T25" s="26">
        <f t="shared" si="5"/>
        <v>0</v>
      </c>
      <c r="U25" s="26">
        <f t="shared" si="6"/>
        <v>0</v>
      </c>
      <c r="V25" s="26">
        <f t="shared" si="7"/>
        <v>-1984</v>
      </c>
      <c r="W25" s="26">
        <f t="shared" si="8"/>
        <v>-48171</v>
      </c>
      <c r="X25" s="26">
        <f t="shared" si="9"/>
        <v>0</v>
      </c>
      <c r="Y25" s="26">
        <f t="shared" si="10"/>
        <v>275</v>
      </c>
      <c r="Z25" s="26">
        <f t="shared" si="11"/>
        <v>-47896</v>
      </c>
      <c r="AA25" s="35">
        <v>0</v>
      </c>
      <c r="AB25" s="35">
        <v>0</v>
      </c>
      <c r="AC25" s="35">
        <v>22774</v>
      </c>
      <c r="AD25" s="35">
        <v>20727</v>
      </c>
      <c r="AE25" s="35">
        <v>0</v>
      </c>
      <c r="AF25" s="35">
        <v>0</v>
      </c>
      <c r="AG25" s="35">
        <v>0</v>
      </c>
      <c r="AH25" s="35">
        <v>0</v>
      </c>
      <c r="AI25" s="157">
        <f t="shared" si="15"/>
        <v>-11.41959770581633</v>
      </c>
      <c r="AJ25" s="160">
        <f t="shared" si="14"/>
        <v>-12.462287785828414</v>
      </c>
      <c r="AK25" s="160">
        <f t="shared" si="14"/>
        <v>5.793218183381546</v>
      </c>
      <c r="AL25" s="160">
        <f t="shared" si="13"/>
        <v>0.029766712632280912</v>
      </c>
      <c r="AM25" s="160"/>
      <c r="AN25" s="157">
        <f>'Feb 13(1)'!O24/'Feb 13 (4&amp;5)'!O25*100</f>
        <v>46.188859503642874</v>
      </c>
      <c r="AO25" s="157">
        <f>'Feb 13(1)'!P24/'Feb 13 (4&amp;5)'!P25*100</f>
        <v>33.37517254071961</v>
      </c>
      <c r="AP25" s="157">
        <f>'Feb 13(1)'!Q24/'Feb 13 (4&amp;5)'!Q25*100</f>
        <v>147.3770266999668</v>
      </c>
      <c r="AQ25" s="157">
        <f>'Feb 13(1)'!R24/'Feb 13 (4&amp;5)'!R25*100</f>
        <v>106.79509854584495</v>
      </c>
      <c r="AR25" s="157">
        <f>'Feb 13(1)'!C24/'Feb 13 (4&amp;5)'!C25*100</f>
        <v>52.14342936741856</v>
      </c>
      <c r="AS25" s="157">
        <f>'Feb 13(1)'!D24/'Feb 13 (4&amp;5)'!D25*100</f>
        <v>38.12662188276433</v>
      </c>
      <c r="AT25" s="157">
        <f>'Feb 13(1)'!E24/'Feb 13 (4&amp;5)'!E25*100</f>
        <v>139.3066864120761</v>
      </c>
      <c r="AU25" s="157">
        <f>'Feb 13(1)'!F24/'Feb 13 (4&amp;5)'!F25*100</f>
        <v>103.70805080002657</v>
      </c>
      <c r="AV25" s="7"/>
      <c r="AW25" s="7"/>
      <c r="AX25" s="8"/>
      <c r="AY25" s="8"/>
      <c r="AZ25" s="8"/>
      <c r="BA25" s="8"/>
      <c r="BB25" s="8"/>
      <c r="BC25" s="8"/>
      <c r="BD25" s="8"/>
      <c r="BE25" s="8"/>
      <c r="BF25" s="8"/>
    </row>
    <row r="26" spans="1:58" ht="21" customHeight="1">
      <c r="A26" s="27">
        <v>20</v>
      </c>
      <c r="B26" s="28" t="s">
        <v>71</v>
      </c>
      <c r="C26" s="33">
        <v>3177181</v>
      </c>
      <c r="D26" s="33">
        <v>622500</v>
      </c>
      <c r="E26" s="33">
        <v>7004773</v>
      </c>
      <c r="F26" s="29">
        <f t="shared" si="0"/>
        <v>10804454</v>
      </c>
      <c r="G26" s="176"/>
      <c r="H26" s="314"/>
      <c r="I26" s="314"/>
      <c r="J26" s="29">
        <f t="shared" si="1"/>
        <v>0</v>
      </c>
      <c r="K26" s="33">
        <v>3122125</v>
      </c>
      <c r="L26" s="33">
        <v>622500</v>
      </c>
      <c r="M26" s="33">
        <v>7131363</v>
      </c>
      <c r="N26" s="29">
        <f t="shared" si="2"/>
        <v>10875988</v>
      </c>
      <c r="O26" s="33">
        <v>3115653</v>
      </c>
      <c r="P26" s="33">
        <v>622500</v>
      </c>
      <c r="Q26" s="33">
        <v>7135526</v>
      </c>
      <c r="R26" s="33">
        <f t="shared" si="3"/>
        <v>10873679</v>
      </c>
      <c r="S26" s="29">
        <f t="shared" si="4"/>
        <v>-6472</v>
      </c>
      <c r="T26" s="29">
        <f t="shared" si="5"/>
        <v>0</v>
      </c>
      <c r="U26" s="29">
        <f t="shared" si="6"/>
        <v>4163</v>
      </c>
      <c r="V26" s="29">
        <f t="shared" si="7"/>
        <v>-2309</v>
      </c>
      <c r="W26" s="29">
        <f t="shared" si="8"/>
        <v>-61528</v>
      </c>
      <c r="X26" s="29">
        <f t="shared" si="9"/>
        <v>0</v>
      </c>
      <c r="Y26" s="29">
        <f t="shared" si="10"/>
        <v>130753</v>
      </c>
      <c r="Z26" s="33">
        <f t="shared" si="11"/>
        <v>69225</v>
      </c>
      <c r="AA26" s="35">
        <v>60272</v>
      </c>
      <c r="AB26" s="35">
        <v>0</v>
      </c>
      <c r="AC26" s="35">
        <v>401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157">
        <f t="shared" si="15"/>
        <v>-2.507318208278494</v>
      </c>
      <c r="AJ26" s="160">
        <f t="shared" si="14"/>
        <v>-76.00730362521475</v>
      </c>
      <c r="AK26" s="160">
        <f t="shared" si="14"/>
        <v>1.0638963240281982</v>
      </c>
      <c r="AL26" s="160">
        <f t="shared" si="13"/>
        <v>-0.02330016970614349</v>
      </c>
      <c r="AM26" s="161"/>
      <c r="AN26" s="157">
        <f>'Feb 13(1)'!O25/'Feb 13 (4&amp;5)'!O26*100</f>
        <v>51.10347654247761</v>
      </c>
      <c r="AO26" s="157">
        <f>'Feb 13(1)'!P25/'Feb 13 (4&amp;5)'!P26*100</f>
        <v>16.084819277108434</v>
      </c>
      <c r="AP26" s="157">
        <f>'Feb 13(1)'!Q25/'Feb 13 (4&amp;5)'!Q26*100</f>
        <v>110.00918502714445</v>
      </c>
      <c r="AQ26" s="157">
        <f>'Feb 13(1)'!R25/'Feb 13 (4&amp;5)'!R26*100</f>
        <v>87.75382278619776</v>
      </c>
      <c r="AR26" s="157">
        <f>'Feb 13(1)'!C25/'Feb 13 (4&amp;5)'!C26*100</f>
        <v>52.417756495459344</v>
      </c>
      <c r="AS26" s="157">
        <f>'Feb 13(1)'!D25/'Feb 13 (4&amp;5)'!D26*100</f>
        <v>67.04048192771084</v>
      </c>
      <c r="AT26" s="157">
        <f>'Feb 13(1)'!E25/'Feb 13 (4&amp;5)'!E26*100</f>
        <v>108.85112194213859</v>
      </c>
      <c r="AU26" s="157">
        <f>'Feb 13(1)'!F25/'Feb 13 (4&amp;5)'!F26*100</f>
        <v>89.84727964967041</v>
      </c>
      <c r="AV26" s="7"/>
      <c r="AW26" s="7"/>
      <c r="AX26" s="8"/>
      <c r="AY26" s="8"/>
      <c r="AZ26" s="8"/>
      <c r="BA26" s="8"/>
      <c r="BB26" s="8"/>
      <c r="BC26" s="8"/>
      <c r="BD26" s="8"/>
      <c r="BE26" s="8"/>
      <c r="BF26" s="8"/>
    </row>
    <row r="27" spans="1:58" ht="21" customHeight="1">
      <c r="A27" s="30">
        <v>21</v>
      </c>
      <c r="B27" s="31" t="s">
        <v>72</v>
      </c>
      <c r="C27" s="34">
        <v>491656</v>
      </c>
      <c r="D27" s="34">
        <v>159750</v>
      </c>
      <c r="E27" s="34">
        <v>949618</v>
      </c>
      <c r="F27" s="32">
        <f t="shared" si="0"/>
        <v>1601024</v>
      </c>
      <c r="G27" s="177"/>
      <c r="H27" s="315"/>
      <c r="I27" s="315"/>
      <c r="J27" s="32">
        <f t="shared" si="1"/>
        <v>0</v>
      </c>
      <c r="K27" s="34">
        <v>475656</v>
      </c>
      <c r="L27" s="34">
        <v>159750</v>
      </c>
      <c r="M27" s="34">
        <v>950698</v>
      </c>
      <c r="N27" s="32">
        <f t="shared" si="2"/>
        <v>1586104</v>
      </c>
      <c r="O27" s="34">
        <v>475656</v>
      </c>
      <c r="P27" s="34">
        <v>159750</v>
      </c>
      <c r="Q27" s="34">
        <v>955658</v>
      </c>
      <c r="R27" s="34">
        <f>O27+P27+Q27</f>
        <v>1591064</v>
      </c>
      <c r="S27" s="32">
        <f t="shared" si="4"/>
        <v>0</v>
      </c>
      <c r="T27" s="361">
        <f t="shared" si="5"/>
        <v>0</v>
      </c>
      <c r="U27" s="32">
        <f t="shared" si="6"/>
        <v>4960</v>
      </c>
      <c r="V27" s="32">
        <f t="shared" si="7"/>
        <v>4960</v>
      </c>
      <c r="W27" s="32">
        <f t="shared" si="8"/>
        <v>-16000</v>
      </c>
      <c r="X27" s="32">
        <f t="shared" si="9"/>
        <v>0</v>
      </c>
      <c r="Y27" s="32">
        <f t="shared" si="10"/>
        <v>6040</v>
      </c>
      <c r="Z27" s="32">
        <f t="shared" si="11"/>
        <v>-9960</v>
      </c>
      <c r="AA27" s="35">
        <v>0</v>
      </c>
      <c r="AB27" s="35">
        <v>500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234">
        <f t="shared" si="15"/>
        <v>-4.897223106629505</v>
      </c>
      <c r="AJ27" s="160">
        <f t="shared" si="14"/>
        <v>-21.44338733179052</v>
      </c>
      <c r="AK27" s="160">
        <f t="shared" si="14"/>
        <v>-1.7913526262444777</v>
      </c>
      <c r="AL27" s="160">
        <f t="shared" si="13"/>
        <v>-0.021974302105911697</v>
      </c>
      <c r="AM27" s="161"/>
      <c r="AN27" s="157">
        <f>'Feb 13(1)'!O26/'Feb 13 (4&amp;5)'!O27*100</f>
        <v>42.6358544830718</v>
      </c>
      <c r="AO27" s="157">
        <f>'Feb 13(1)'!P26/'Feb 13 (4&amp;5)'!P27*100</f>
        <v>28.68607198748044</v>
      </c>
      <c r="AP27" s="157">
        <f>'Feb 13(1)'!Q26/'Feb 13 (4&amp;5)'!Q27*100</f>
        <v>140.71969260969928</v>
      </c>
      <c r="AQ27" s="157">
        <f>'Feb 13(1)'!R26/'Feb 13 (4&amp;5)'!R27*100</f>
        <v>100.14839126521625</v>
      </c>
      <c r="AR27" s="157">
        <f>'Feb 13(1)'!C26/'Feb 13 (4&amp;5)'!C27*100</f>
        <v>44.83134549359715</v>
      </c>
      <c r="AS27" s="157">
        <f>'Feb 13(1)'!D26/'Feb 13 (4&amp;5)'!D27*100</f>
        <v>36.51643192488263</v>
      </c>
      <c r="AT27" s="157">
        <f>'Feb 13(1)'!E26/'Feb 13 (4&amp;5)'!E27*100</f>
        <v>143.28645834430264</v>
      </c>
      <c r="AU27" s="157">
        <f>'Feb 13(1)'!F26/'Feb 13 (4&amp;5)'!F27*100</f>
        <v>102.39852744243684</v>
      </c>
      <c r="AV27" s="7"/>
      <c r="AW27" s="7"/>
      <c r="AX27" s="8"/>
      <c r="AY27" s="8"/>
      <c r="AZ27" s="8"/>
      <c r="BA27" s="8"/>
      <c r="BB27" s="8"/>
      <c r="BC27" s="8"/>
      <c r="BD27" s="8"/>
      <c r="BE27" s="8"/>
      <c r="BF27" s="8"/>
    </row>
    <row r="28" spans="1:58" ht="21" customHeight="1">
      <c r="A28" s="24">
        <v>22</v>
      </c>
      <c r="B28" s="44" t="s">
        <v>7</v>
      </c>
      <c r="C28" s="35">
        <v>2062016</v>
      </c>
      <c r="D28" s="35">
        <v>471750</v>
      </c>
      <c r="E28" s="35">
        <v>6444900</v>
      </c>
      <c r="F28" s="26">
        <f t="shared" si="0"/>
        <v>8978666</v>
      </c>
      <c r="G28" s="175"/>
      <c r="H28" s="313"/>
      <c r="I28" s="313"/>
      <c r="J28" s="26">
        <f t="shared" si="1"/>
        <v>0</v>
      </c>
      <c r="K28" s="35">
        <v>1824688</v>
      </c>
      <c r="L28" s="35">
        <v>471750</v>
      </c>
      <c r="M28" s="35">
        <v>6444900</v>
      </c>
      <c r="N28" s="26">
        <f t="shared" si="2"/>
        <v>8741338</v>
      </c>
      <c r="O28" s="35">
        <v>1824688</v>
      </c>
      <c r="P28" s="35">
        <v>472020</v>
      </c>
      <c r="Q28" s="35">
        <v>6444900</v>
      </c>
      <c r="R28" s="35">
        <f t="shared" si="3"/>
        <v>8741608</v>
      </c>
      <c r="S28" s="26">
        <f>O28-K28</f>
        <v>0</v>
      </c>
      <c r="T28" s="26">
        <f>P28-L28</f>
        <v>270</v>
      </c>
      <c r="U28" s="26">
        <f>Q28-M28</f>
        <v>0</v>
      </c>
      <c r="V28" s="26">
        <f t="shared" si="7"/>
        <v>270</v>
      </c>
      <c r="W28" s="397">
        <f>O28-C28</f>
        <v>-237328</v>
      </c>
      <c r="X28" s="35">
        <f t="shared" si="9"/>
        <v>270</v>
      </c>
      <c r="Y28" s="35">
        <f t="shared" si="10"/>
        <v>0</v>
      </c>
      <c r="Z28" s="35">
        <f t="shared" si="11"/>
        <v>-237058</v>
      </c>
      <c r="AA28" s="35">
        <v>0</v>
      </c>
      <c r="AB28" s="35">
        <v>0</v>
      </c>
      <c r="AC28" s="35">
        <v>22193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234">
        <f t="shared" si="15"/>
        <v>-8.301447500298826</v>
      </c>
      <c r="AJ28" s="160">
        <f t="shared" si="14"/>
        <v>-6.414617111923127</v>
      </c>
      <c r="AK28" s="160">
        <f t="shared" si="14"/>
        <v>3.0466095712047725</v>
      </c>
      <c r="AL28" s="160">
        <f t="shared" si="13"/>
        <v>0.031286127673016105</v>
      </c>
      <c r="AM28" s="160"/>
      <c r="AN28" s="157">
        <f>'Feb 13(1)'!O27/'Feb 13 (4&amp;5)'!O28*100</f>
        <v>51.92383574616593</v>
      </c>
      <c r="AO28" s="157">
        <f>'Feb 13(1)'!P27/'Feb 13 (4&amp;5)'!P28*100</f>
        <v>89.1373246896318</v>
      </c>
      <c r="AP28" s="157">
        <f>'Feb 13(1)'!Q27/'Feb 13 (4&amp;5)'!Q28*100</f>
        <v>154.5712734099831</v>
      </c>
      <c r="AQ28" s="157">
        <f>'Feb 13(1)'!R27/'Feb 13 (4&amp;5)'!R28*100</f>
        <v>129.6118288534558</v>
      </c>
      <c r="AR28" s="157">
        <f>'Feb 13(1)'!C27/'Feb 13 (4&amp;5)'!C28*100</f>
        <v>56.62448787982246</v>
      </c>
      <c r="AS28" s="157">
        <f>'Feb 13(1)'!D27/'Feb 13 (4&amp;5)'!D28*100</f>
        <v>95.2470588235294</v>
      </c>
      <c r="AT28" s="157">
        <f>'Feb 13(1)'!E27/'Feb 13 (4&amp;5)'!E28*100</f>
        <v>150.00131887228662</v>
      </c>
      <c r="AU28" s="157">
        <f>'Feb 13(1)'!F27/'Feb 13 (4&amp;5)'!F28*100</f>
        <v>125.6797947490195</v>
      </c>
      <c r="AV28" s="7"/>
      <c r="AW28" s="7"/>
      <c r="AX28" s="8"/>
      <c r="AY28" s="8"/>
      <c r="AZ28" s="8"/>
      <c r="BA28" s="8"/>
      <c r="BB28" s="8"/>
      <c r="BC28" s="8"/>
      <c r="BD28" s="8"/>
      <c r="BE28" s="8"/>
      <c r="BF28" s="8"/>
    </row>
    <row r="29" spans="1:58" ht="21" customHeight="1">
      <c r="A29" s="27">
        <v>23</v>
      </c>
      <c r="B29" s="45" t="s">
        <v>8</v>
      </c>
      <c r="C29" s="33">
        <v>1420388</v>
      </c>
      <c r="D29" s="33">
        <v>219550</v>
      </c>
      <c r="E29" s="33">
        <v>2530357</v>
      </c>
      <c r="F29" s="29">
        <f t="shared" si="0"/>
        <v>4170295</v>
      </c>
      <c r="G29" s="176"/>
      <c r="H29" s="314"/>
      <c r="I29" s="314"/>
      <c r="J29" s="29">
        <f t="shared" si="1"/>
        <v>0</v>
      </c>
      <c r="K29" s="33">
        <v>1253956</v>
      </c>
      <c r="L29" s="33">
        <v>219550</v>
      </c>
      <c r="M29" s="33">
        <v>2532104</v>
      </c>
      <c r="N29" s="29">
        <f t="shared" si="2"/>
        <v>4005610</v>
      </c>
      <c r="O29" s="33">
        <v>1252456</v>
      </c>
      <c r="P29" s="33">
        <v>219550</v>
      </c>
      <c r="Q29" s="33">
        <v>2532104</v>
      </c>
      <c r="R29" s="33">
        <f t="shared" si="3"/>
        <v>4004110</v>
      </c>
      <c r="S29" s="29">
        <f t="shared" si="4"/>
        <v>-1500</v>
      </c>
      <c r="T29" s="29">
        <f t="shared" si="5"/>
        <v>0</v>
      </c>
      <c r="U29" s="29">
        <f t="shared" si="6"/>
        <v>0</v>
      </c>
      <c r="V29" s="29">
        <f t="shared" si="7"/>
        <v>-1500</v>
      </c>
      <c r="W29" s="362">
        <f t="shared" si="8"/>
        <v>-167932</v>
      </c>
      <c r="X29" s="29">
        <f t="shared" si="9"/>
        <v>0</v>
      </c>
      <c r="Y29" s="29">
        <f t="shared" si="10"/>
        <v>1747</v>
      </c>
      <c r="Z29" s="29">
        <f t="shared" si="11"/>
        <v>-166185</v>
      </c>
      <c r="AA29" s="35">
        <v>0</v>
      </c>
      <c r="AB29" s="35">
        <v>0</v>
      </c>
      <c r="AC29" s="35">
        <v>0</v>
      </c>
      <c r="AD29" s="35">
        <v>8811</v>
      </c>
      <c r="AE29" s="35">
        <v>0</v>
      </c>
      <c r="AF29" s="35">
        <v>0</v>
      </c>
      <c r="AG29" s="35">
        <v>0</v>
      </c>
      <c r="AH29" s="35">
        <v>0</v>
      </c>
      <c r="AI29" s="234">
        <f t="shared" si="15"/>
        <v>11.417564038889072</v>
      </c>
      <c r="AJ29" s="160">
        <f t="shared" si="14"/>
        <v>-9.127561068662924</v>
      </c>
      <c r="AK29" s="160">
        <f t="shared" si="14"/>
        <v>4.567335442821005</v>
      </c>
      <c r="AL29" s="160">
        <f t="shared" si="13"/>
        <v>0.0771205506655411</v>
      </c>
      <c r="AM29" s="161"/>
      <c r="AN29" s="157">
        <f>'Feb 13(1)'!O28/'Feb 13 (4&amp;5)'!O29*100</f>
        <v>42.275337417043</v>
      </c>
      <c r="AO29" s="157">
        <f>'Feb 13(1)'!P28/'Feb 13 (4&amp;5)'!P29*100</f>
        <v>40.14074242769301</v>
      </c>
      <c r="AP29" s="157">
        <f>'Feb 13(1)'!Q28/'Feb 13 (4&amp;5)'!Q29*100</f>
        <v>135.71780621964976</v>
      </c>
      <c r="AQ29" s="157">
        <f>'Feb 13(1)'!R28/'Feb 13 (4&amp;5)'!R29*100</f>
        <v>101.24909155842371</v>
      </c>
      <c r="AR29" s="157">
        <f>'Feb 13(1)'!C28/'Feb 13 (4&amp;5)'!C29*100</f>
        <v>37.943153560858015</v>
      </c>
      <c r="AS29" s="157">
        <f>'Feb 13(1)'!D28/'Feb 13 (4&amp;5)'!D29*100</f>
        <v>44.17262582555227</v>
      </c>
      <c r="AT29" s="157">
        <f>'Feb 13(1)'!E28/'Feb 13 (4&amp;5)'!E29*100</f>
        <v>129.78986759575824</v>
      </c>
      <c r="AU29" s="157">
        <f>'Feb 13(1)'!F28/'Feb 13 (4&amp;5)'!F29*100</f>
        <v>93.99977699419345</v>
      </c>
      <c r="AV29" s="7"/>
      <c r="AW29" s="7"/>
      <c r="AX29" s="8"/>
      <c r="AY29" s="8"/>
      <c r="AZ29" s="8"/>
      <c r="BA29" s="8"/>
      <c r="BB29" s="8"/>
      <c r="BC29" s="8"/>
      <c r="BD29" s="8"/>
      <c r="BE29" s="8"/>
      <c r="BF29" s="8"/>
    </row>
    <row r="30" spans="1:58" ht="21" customHeight="1">
      <c r="A30" s="30">
        <v>24</v>
      </c>
      <c r="B30" s="46" t="s">
        <v>40</v>
      </c>
      <c r="C30" s="34">
        <v>1661155</v>
      </c>
      <c r="D30" s="34">
        <v>299500</v>
      </c>
      <c r="E30" s="34">
        <v>2885010</v>
      </c>
      <c r="F30" s="32">
        <f t="shared" si="0"/>
        <v>4845665</v>
      </c>
      <c r="G30" s="177"/>
      <c r="H30" s="315"/>
      <c r="I30" s="315"/>
      <c r="J30" s="32">
        <f t="shared" si="1"/>
        <v>0</v>
      </c>
      <c r="K30" s="34">
        <v>1619299</v>
      </c>
      <c r="L30" s="34">
        <v>297500</v>
      </c>
      <c r="M30" s="34">
        <v>2885898</v>
      </c>
      <c r="N30" s="32">
        <f t="shared" si="2"/>
        <v>4802697</v>
      </c>
      <c r="O30" s="34">
        <v>1616039</v>
      </c>
      <c r="P30" s="34">
        <v>297500</v>
      </c>
      <c r="Q30" s="34">
        <v>2885898</v>
      </c>
      <c r="R30" s="34">
        <f t="shared" si="3"/>
        <v>4799437</v>
      </c>
      <c r="S30" s="32">
        <f t="shared" si="4"/>
        <v>-3260</v>
      </c>
      <c r="T30" s="32">
        <f t="shared" si="5"/>
        <v>0</v>
      </c>
      <c r="U30" s="32">
        <f t="shared" si="6"/>
        <v>0</v>
      </c>
      <c r="V30" s="32">
        <f t="shared" si="7"/>
        <v>-3260</v>
      </c>
      <c r="W30" s="32">
        <f t="shared" si="8"/>
        <v>-45116</v>
      </c>
      <c r="X30" s="32">
        <f t="shared" si="9"/>
        <v>-2000</v>
      </c>
      <c r="Y30" s="32">
        <f t="shared" si="10"/>
        <v>888</v>
      </c>
      <c r="Z30" s="32">
        <f t="shared" si="11"/>
        <v>-46228</v>
      </c>
      <c r="AA30" s="231">
        <v>6500</v>
      </c>
      <c r="AB30" s="231">
        <v>0</v>
      </c>
      <c r="AC30" s="231">
        <v>7451</v>
      </c>
      <c r="AD30" s="231">
        <v>0</v>
      </c>
      <c r="AE30" s="231">
        <v>25000</v>
      </c>
      <c r="AF30" s="231">
        <v>0</v>
      </c>
      <c r="AG30" s="231">
        <v>0</v>
      </c>
      <c r="AH30" s="231">
        <v>0</v>
      </c>
      <c r="AI30" s="157">
        <f t="shared" si="15"/>
        <v>-17.196658359761845</v>
      </c>
      <c r="AJ30" s="160">
        <f t="shared" si="14"/>
        <v>-12.672179384982158</v>
      </c>
      <c r="AK30" s="160">
        <f t="shared" si="14"/>
        <v>0.32244264350957524</v>
      </c>
      <c r="AL30" s="160">
        <f t="shared" si="13"/>
        <v>-0.021598252085005223</v>
      </c>
      <c r="AM30" s="161"/>
      <c r="AN30" s="157">
        <f>'Feb 13(1)'!O29/'Feb 13 (4&amp;5)'!O30*100</f>
        <v>32.7247052824839</v>
      </c>
      <c r="AO30" s="157">
        <f>'Feb 13(1)'!P29/'Feb 13 (4&amp;5)'!P30*100</f>
        <v>21.458151260504202</v>
      </c>
      <c r="AP30" s="157">
        <f>'Feb 13(1)'!Q29/'Feb 13 (4&amp;5)'!Q30*100</f>
        <v>115.85925767300161</v>
      </c>
      <c r="AQ30" s="157">
        <f>'Feb 13(1)'!R29/'Feb 13 (4&amp;5)'!R30*100</f>
        <v>82.01507801852593</v>
      </c>
      <c r="AR30" s="157">
        <f>'Feb 13(1)'!C29/'Feb 13 (4&amp;5)'!C30*100</f>
        <v>39.52099593355226</v>
      </c>
      <c r="AS30" s="157">
        <f>'Feb 13(1)'!D29/'Feb 13 (4&amp;5)'!D30*100</f>
        <v>24.57195325542571</v>
      </c>
      <c r="AT30" s="157">
        <f>'Feb 13(1)'!E29/'Feb 13 (4&amp;5)'!E30*100</f>
        <v>115.4868787283233</v>
      </c>
      <c r="AU30" s="157">
        <f>'Feb 13(1)'!F29/'Feb 13 (4&amp;5)'!F30*100</f>
        <v>83.82556367392297</v>
      </c>
      <c r="AV30" s="7"/>
      <c r="AW30" s="7"/>
      <c r="AX30" s="8"/>
      <c r="AY30" s="8"/>
      <c r="AZ30" s="8"/>
      <c r="BA30" s="8"/>
      <c r="BB30" s="8"/>
      <c r="BC30" s="8"/>
      <c r="BD30" s="8"/>
      <c r="BE30" s="8"/>
      <c r="BF30" s="8"/>
    </row>
    <row r="31" spans="1:58" ht="21" customHeight="1">
      <c r="A31" s="24">
        <v>25</v>
      </c>
      <c r="B31" s="44" t="s">
        <v>9</v>
      </c>
      <c r="C31" s="35">
        <v>1542079</v>
      </c>
      <c r="D31" s="35">
        <v>200000</v>
      </c>
      <c r="E31" s="35">
        <v>1538801</v>
      </c>
      <c r="F31" s="26">
        <f t="shared" si="0"/>
        <v>3280880</v>
      </c>
      <c r="G31" s="175"/>
      <c r="H31" s="313"/>
      <c r="I31" s="313"/>
      <c r="J31" s="26">
        <f t="shared" si="1"/>
        <v>0</v>
      </c>
      <c r="K31" s="35">
        <v>1494226</v>
      </c>
      <c r="L31" s="35">
        <v>200000</v>
      </c>
      <c r="M31" s="35">
        <v>1467300</v>
      </c>
      <c r="N31" s="26">
        <f t="shared" si="2"/>
        <v>3161526</v>
      </c>
      <c r="O31" s="35">
        <v>1480738</v>
      </c>
      <c r="P31" s="35">
        <v>200000</v>
      </c>
      <c r="Q31" s="35">
        <v>1467300</v>
      </c>
      <c r="R31" s="35">
        <f>O31+P31+Q31</f>
        <v>3148038</v>
      </c>
      <c r="S31" s="26">
        <f t="shared" si="4"/>
        <v>-13488</v>
      </c>
      <c r="T31" s="26">
        <f t="shared" si="5"/>
        <v>0</v>
      </c>
      <c r="U31" s="26">
        <f t="shared" si="6"/>
        <v>0</v>
      </c>
      <c r="V31" s="26">
        <f t="shared" si="7"/>
        <v>-13488</v>
      </c>
      <c r="W31" s="26">
        <f t="shared" si="8"/>
        <v>-61341</v>
      </c>
      <c r="X31" s="26">
        <f t="shared" si="9"/>
        <v>0</v>
      </c>
      <c r="Y31" s="430">
        <f t="shared" si="10"/>
        <v>-71501</v>
      </c>
      <c r="Z31" s="26">
        <f t="shared" si="11"/>
        <v>-132842</v>
      </c>
      <c r="AA31" s="35">
        <v>33589</v>
      </c>
      <c r="AB31" s="35">
        <v>150000</v>
      </c>
      <c r="AC31" s="35">
        <v>26148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157">
        <f t="shared" si="15"/>
        <v>-0.25796792278843406</v>
      </c>
      <c r="AJ31" s="160">
        <f t="shared" si="14"/>
        <v>-33.33333333333333</v>
      </c>
      <c r="AK31" s="160">
        <f t="shared" si="14"/>
        <v>-0.5167442944391493</v>
      </c>
      <c r="AL31" s="160">
        <f t="shared" si="13"/>
        <v>-0.011799914650837512</v>
      </c>
      <c r="AM31" s="162"/>
      <c r="AN31" s="157">
        <f>'Feb 13(1)'!O30/'Feb 13 (4&amp;5)'!O31*100</f>
        <v>63.07118477407887</v>
      </c>
      <c r="AO31" s="157">
        <f>'Feb 13(1)'!P30/'Feb 13 (4&amp;5)'!P31*100</f>
        <v>12.22</v>
      </c>
      <c r="AP31" s="157">
        <f>'Feb 13(1)'!Q30/'Feb 13 (4&amp;5)'!Q31*100</f>
        <v>154.48844817010837</v>
      </c>
      <c r="AQ31" s="157">
        <f>'Feb 13(1)'!R30/'Feb 13 (4&amp;5)'!R31*100</f>
        <v>102.45009748929333</v>
      </c>
      <c r="AR31" s="157">
        <f>'Feb 13(1)'!C30/'Feb 13 (4&amp;5)'!C31*100</f>
        <v>63.23430900751518</v>
      </c>
      <c r="AS31" s="157">
        <f>'Feb 13(1)'!D30/'Feb 13 (4&amp;5)'!D31*100</f>
        <v>18.33</v>
      </c>
      <c r="AT31" s="157">
        <f>'Feb 13(1)'!E30/'Feb 13 (4&amp;5)'!E31*100</f>
        <v>155.29090506179813</v>
      </c>
      <c r="AU31" s="157">
        <f>'Feb 13(1)'!F30/'Feb 13 (4&amp;5)'!F31*100</f>
        <v>103.67343517592842</v>
      </c>
      <c r="AV31" s="7"/>
      <c r="AW31" s="7"/>
      <c r="AX31" s="8"/>
      <c r="AY31" s="8"/>
      <c r="AZ31" s="8"/>
      <c r="BA31" s="8"/>
      <c r="BB31" s="8"/>
      <c r="BC31" s="8"/>
      <c r="BD31" s="8"/>
      <c r="BE31" s="8"/>
      <c r="BF31" s="8"/>
    </row>
    <row r="32" spans="1:58" ht="21" customHeight="1">
      <c r="A32" s="30">
        <v>26</v>
      </c>
      <c r="B32" s="46" t="s">
        <v>10</v>
      </c>
      <c r="C32" s="342">
        <f>1286127-54627</f>
        <v>1231500</v>
      </c>
      <c r="D32" s="343">
        <v>95310</v>
      </c>
      <c r="E32" s="34">
        <v>1968070</v>
      </c>
      <c r="F32" s="32">
        <f t="shared" si="0"/>
        <v>3294880</v>
      </c>
      <c r="G32" s="177"/>
      <c r="H32" s="315"/>
      <c r="I32" s="315"/>
      <c r="J32" s="32">
        <f t="shared" si="1"/>
        <v>0</v>
      </c>
      <c r="K32" s="345">
        <f>1286127-54627</f>
        <v>1231500</v>
      </c>
      <c r="L32" s="343">
        <v>95310</v>
      </c>
      <c r="M32" s="34">
        <v>1902800</v>
      </c>
      <c r="N32" s="29">
        <f t="shared" si="2"/>
        <v>3229610</v>
      </c>
      <c r="O32" s="459">
        <f>1286127-54627</f>
        <v>1231500</v>
      </c>
      <c r="P32" s="343">
        <v>95310</v>
      </c>
      <c r="Q32" s="34">
        <v>1898912</v>
      </c>
      <c r="R32" s="33">
        <f t="shared" si="3"/>
        <v>3225722</v>
      </c>
      <c r="S32" s="29">
        <f t="shared" si="4"/>
        <v>0</v>
      </c>
      <c r="T32" s="29">
        <f t="shared" si="5"/>
        <v>0</v>
      </c>
      <c r="U32" s="29">
        <f t="shared" si="6"/>
        <v>-3888</v>
      </c>
      <c r="V32" s="29">
        <f t="shared" si="7"/>
        <v>-3888</v>
      </c>
      <c r="W32" s="29">
        <f t="shared" si="8"/>
        <v>0</v>
      </c>
      <c r="X32" s="29">
        <f t="shared" si="9"/>
        <v>0</v>
      </c>
      <c r="Y32" s="29">
        <f t="shared" si="10"/>
        <v>-69158</v>
      </c>
      <c r="Z32" s="29">
        <f t="shared" si="11"/>
        <v>-69158</v>
      </c>
      <c r="AA32" s="35">
        <v>9470</v>
      </c>
      <c r="AB32" s="35">
        <v>0</v>
      </c>
      <c r="AC32" s="35">
        <v>1239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157">
        <f t="shared" si="15"/>
        <v>-1.3898266189179223</v>
      </c>
      <c r="AJ32" s="160">
        <f t="shared" si="14"/>
        <v>-29.78936354124015</v>
      </c>
      <c r="AK32" s="160">
        <f t="shared" si="14"/>
        <v>-2.726234647609153</v>
      </c>
      <c r="AL32" s="160">
        <f t="shared" si="13"/>
        <v>-0.02740727950326594</v>
      </c>
      <c r="AM32" s="161"/>
      <c r="AN32" s="157">
        <f>'Feb 13(1)'!O31/'Feb 13 (4&amp;5)'!O32*100</f>
        <v>66.29622411693057</v>
      </c>
      <c r="AO32" s="157">
        <f>'Feb 13(1)'!P31/'Feb 13 (4&amp;5)'!P32*100</f>
        <v>16.192424719336902</v>
      </c>
      <c r="AP32" s="157">
        <f>'Feb 13(1)'!Q31/'Feb 13 (4&amp;5)'!Q32*100</f>
        <v>81.959722198817</v>
      </c>
      <c r="AQ32" s="157">
        <f>'Feb 13(1)'!R31/'Feb 13 (4&amp;5)'!R32*100</f>
        <v>74.03657227746223</v>
      </c>
      <c r="AR32" s="157">
        <f>'Feb 13(1)'!C31/'Feb 13 (4&amp;5)'!C32*100</f>
        <v>67.23061307348762</v>
      </c>
      <c r="AS32" s="157">
        <f>'Feb 13(1)'!D31/'Feb 13 (4&amp;5)'!D32*100</f>
        <v>23.06263770853006</v>
      </c>
      <c r="AT32" s="157">
        <f>'Feb 13(1)'!E31/'Feb 13 (4&amp;5)'!E32*100</f>
        <v>84.25675915998923</v>
      </c>
      <c r="AU32" s="157">
        <f>'Feb 13(1)'!F31/'Feb 13 (4&amp;5)'!F32*100</f>
        <v>76.12289370174331</v>
      </c>
      <c r="AV32" s="7"/>
      <c r="AW32" s="7"/>
      <c r="AX32" s="8"/>
      <c r="AY32" s="8"/>
      <c r="AZ32" s="8"/>
      <c r="BA32" s="8"/>
      <c r="BB32" s="8"/>
      <c r="BC32" s="8"/>
      <c r="BD32" s="8"/>
      <c r="BE32" s="8"/>
      <c r="BF32" s="8"/>
    </row>
    <row r="33" spans="1:58" ht="21" customHeight="1">
      <c r="A33" s="212"/>
      <c r="B33" s="212" t="s">
        <v>11</v>
      </c>
      <c r="C33" s="286">
        <f aca="true" t="shared" si="16" ref="C33:Z33">SUM(C7:C32)</f>
        <v>42435826</v>
      </c>
      <c r="D33" s="286">
        <f t="shared" si="16"/>
        <v>8830960</v>
      </c>
      <c r="E33" s="286">
        <f t="shared" si="16"/>
        <v>74128772</v>
      </c>
      <c r="F33" s="286">
        <f t="shared" si="16"/>
        <v>125395558</v>
      </c>
      <c r="G33" s="292">
        <f t="shared" si="16"/>
        <v>0</v>
      </c>
      <c r="H33" s="292">
        <f t="shared" si="16"/>
        <v>0</v>
      </c>
      <c r="I33" s="292">
        <f t="shared" si="16"/>
        <v>0</v>
      </c>
      <c r="J33" s="292">
        <f t="shared" si="16"/>
        <v>0</v>
      </c>
      <c r="K33" s="286">
        <f t="shared" si="16"/>
        <v>40088033</v>
      </c>
      <c r="L33" s="286">
        <f t="shared" si="16"/>
        <v>8660910</v>
      </c>
      <c r="M33" s="286">
        <f t="shared" si="16"/>
        <v>76082417</v>
      </c>
      <c r="N33" s="286">
        <f t="shared" si="16"/>
        <v>124831360</v>
      </c>
      <c r="O33" s="286">
        <f t="shared" si="16"/>
        <v>40001053</v>
      </c>
      <c r="P33" s="286">
        <f t="shared" si="16"/>
        <v>8650180</v>
      </c>
      <c r="Q33" s="286">
        <f t="shared" si="16"/>
        <v>76273251</v>
      </c>
      <c r="R33" s="286">
        <f t="shared" si="16"/>
        <v>124924484</v>
      </c>
      <c r="S33" s="286">
        <f t="shared" si="16"/>
        <v>-86980</v>
      </c>
      <c r="T33" s="334">
        <f>SUM(T7:T32)</f>
        <v>-10730</v>
      </c>
      <c r="U33" s="286">
        <f t="shared" si="16"/>
        <v>190834</v>
      </c>
      <c r="V33" s="286">
        <f t="shared" si="16"/>
        <v>93124</v>
      </c>
      <c r="W33" s="403">
        <f t="shared" si="16"/>
        <v>-2434773</v>
      </c>
      <c r="X33" s="286">
        <f>SUM(X7:X32)</f>
        <v>-180780</v>
      </c>
      <c r="Y33" s="334">
        <f>SUM(Y7:Y32)</f>
        <v>2144479</v>
      </c>
      <c r="Z33" s="286">
        <f t="shared" si="16"/>
        <v>-471074</v>
      </c>
      <c r="AA33" s="258">
        <f aca="true" t="shared" si="17" ref="AA33:AH33">SUM(AA7:AA32)</f>
        <v>268907</v>
      </c>
      <c r="AB33" s="258">
        <f t="shared" si="17"/>
        <v>224250</v>
      </c>
      <c r="AC33" s="258">
        <f t="shared" si="17"/>
        <v>210855</v>
      </c>
      <c r="AD33" s="35">
        <f>SUM(AD7:AD32)</f>
        <v>7555349</v>
      </c>
      <c r="AE33" s="258">
        <f>SUM(AE7:AE32)</f>
        <v>25000</v>
      </c>
      <c r="AF33" s="258">
        <f t="shared" si="17"/>
        <v>44000</v>
      </c>
      <c r="AG33" s="258">
        <f t="shared" si="17"/>
        <v>21031</v>
      </c>
      <c r="AH33" s="258">
        <f t="shared" si="17"/>
        <v>410805</v>
      </c>
      <c r="AI33" s="301">
        <f t="shared" si="15"/>
        <v>-2.774175838141639</v>
      </c>
      <c r="AJ33" s="301">
        <f t="shared" si="14"/>
        <v>-30.617102928239344</v>
      </c>
      <c r="AK33" s="301">
        <f t="shared" si="14"/>
        <v>0.7262909589315325</v>
      </c>
      <c r="AL33" s="301">
        <f t="shared" si="13"/>
        <v>0.0061019062212525265</v>
      </c>
      <c r="AM33" s="301"/>
      <c r="AN33" s="301">
        <f>'Feb 13(1)'!O32/'Feb 13 (4&amp;5)'!O33*100</f>
        <v>51.476404883641436</v>
      </c>
      <c r="AO33" s="301">
        <f>'Feb 13(1)'!P32/'Feb 13 (4&amp;5)'!P33*100</f>
        <v>31.45786561666925</v>
      </c>
      <c r="AP33" s="301">
        <f>'Feb 13(1)'!Q32/'Feb 13 (4&amp;5)'!Q33*100</f>
        <v>128.41907708903085</v>
      </c>
      <c r="AQ33" s="301">
        <f>'Feb 13(1)'!R32/'Feb 13 (4&amp;5)'!R33*100</f>
        <v>97.06797828358451</v>
      </c>
      <c r="AR33" s="301">
        <f>'Feb 13(1)'!C32/'Feb 13 (4&amp;5)'!C33*100</f>
        <v>52.945197767565546</v>
      </c>
      <c r="AS33" s="301">
        <f>'Feb 13(1)'!D32/'Feb 13 (4&amp;5)'!D33*100</f>
        <v>45.33951008723853</v>
      </c>
      <c r="AT33" s="301">
        <f>'Feb 13(1)'!E32/'Feb 13 (4&amp;5)'!E33*100</f>
        <v>127.49310618554426</v>
      </c>
      <c r="AU33" s="301">
        <f>'Feb 13(1)'!F32/'Feb 13 (4&amp;5)'!F33*100</f>
        <v>96.47927082074152</v>
      </c>
      <c r="AV33" s="7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s="3" customFormat="1" ht="21" customHeight="1">
      <c r="A34" s="472" t="s">
        <v>148</v>
      </c>
      <c r="B34" s="472"/>
      <c r="C34" s="287">
        <f>C33/1000000</f>
        <v>42.435826</v>
      </c>
      <c r="D34" s="287">
        <f aca="true" t="shared" si="18" ref="D34:AH34">D33/1000000</f>
        <v>8.83096</v>
      </c>
      <c r="E34" s="287">
        <f t="shared" si="18"/>
        <v>74.128772</v>
      </c>
      <c r="F34" s="287">
        <f t="shared" si="18"/>
        <v>125.395558</v>
      </c>
      <c r="G34" s="287">
        <f t="shared" si="18"/>
        <v>0</v>
      </c>
      <c r="H34" s="287">
        <f t="shared" si="18"/>
        <v>0</v>
      </c>
      <c r="I34" s="287">
        <f t="shared" si="18"/>
        <v>0</v>
      </c>
      <c r="J34" s="287">
        <f t="shared" si="18"/>
        <v>0</v>
      </c>
      <c r="K34" s="287">
        <f t="shared" si="18"/>
        <v>40.088033</v>
      </c>
      <c r="L34" s="287">
        <f t="shared" si="18"/>
        <v>8.66091</v>
      </c>
      <c r="M34" s="285">
        <f t="shared" si="18"/>
        <v>76.082417</v>
      </c>
      <c r="N34" s="287">
        <f t="shared" si="18"/>
        <v>124.83136</v>
      </c>
      <c r="O34" s="287">
        <f t="shared" si="18"/>
        <v>40.001053</v>
      </c>
      <c r="P34" s="287">
        <f t="shared" si="18"/>
        <v>8.65018</v>
      </c>
      <c r="Q34" s="287">
        <f t="shared" si="18"/>
        <v>76.273251</v>
      </c>
      <c r="R34" s="287">
        <f t="shared" si="18"/>
        <v>124.924484</v>
      </c>
      <c r="S34" s="287">
        <f t="shared" si="18"/>
        <v>-0.08698</v>
      </c>
      <c r="T34" s="287">
        <f t="shared" si="18"/>
        <v>-0.01073</v>
      </c>
      <c r="U34" s="287">
        <f t="shared" si="18"/>
        <v>0.190834</v>
      </c>
      <c r="V34" s="287">
        <f t="shared" si="18"/>
        <v>0.093124</v>
      </c>
      <c r="W34" s="287">
        <f t="shared" si="18"/>
        <v>-2.434773</v>
      </c>
      <c r="X34" s="287">
        <f t="shared" si="18"/>
        <v>-0.18078</v>
      </c>
      <c r="Y34" s="287">
        <f t="shared" si="18"/>
        <v>2.144479</v>
      </c>
      <c r="Z34" s="287">
        <f t="shared" si="18"/>
        <v>-0.471074</v>
      </c>
      <c r="AA34" s="287">
        <f t="shared" si="18"/>
        <v>0.268907</v>
      </c>
      <c r="AB34" s="287">
        <f t="shared" si="18"/>
        <v>0.22425</v>
      </c>
      <c r="AC34" s="287">
        <f t="shared" si="18"/>
        <v>0.210855</v>
      </c>
      <c r="AD34" s="387">
        <f>AD33/1000000</f>
        <v>7.555349</v>
      </c>
      <c r="AE34" s="287">
        <f>AE33/1000000</f>
        <v>0.025</v>
      </c>
      <c r="AF34" s="287">
        <f t="shared" si="18"/>
        <v>0.044</v>
      </c>
      <c r="AG34" s="287">
        <f>AG33/1000000</f>
        <v>0.021031</v>
      </c>
      <c r="AH34" s="287">
        <f t="shared" si="18"/>
        <v>0.410805</v>
      </c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7"/>
      <c r="AW34" s="6"/>
      <c r="AX34" s="6"/>
      <c r="AY34" s="6"/>
      <c r="AZ34" s="6"/>
      <c r="BA34" s="6"/>
      <c r="BB34" s="6"/>
      <c r="BC34" s="6"/>
      <c r="BD34" s="6"/>
      <c r="BE34" s="6"/>
      <c r="BF34" s="6"/>
    </row>
    <row r="35" spans="1:58" s="3" customFormat="1" ht="18" customHeight="1">
      <c r="A35" s="14"/>
      <c r="C35" s="17" t="s">
        <v>97</v>
      </c>
      <c r="D35" s="15"/>
      <c r="E35" s="15"/>
      <c r="F35" s="15"/>
      <c r="G35" s="15"/>
      <c r="H35" s="15"/>
      <c r="I35" s="15"/>
      <c r="J35" s="15"/>
      <c r="K35" s="15"/>
      <c r="L35" s="15"/>
      <c r="M35" s="388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9"/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1:47" ht="13.5" customHeight="1">
      <c r="A36" s="10"/>
      <c r="B36" s="10"/>
      <c r="C36" s="10"/>
      <c r="D36" s="193"/>
      <c r="E36" s="10"/>
      <c r="F36" s="10"/>
      <c r="G36" s="10"/>
      <c r="H36" s="10"/>
      <c r="I36" s="10"/>
      <c r="J36" s="10"/>
      <c r="K36" s="10"/>
      <c r="L36" s="10"/>
      <c r="M36" s="55"/>
      <c r="N36" s="10"/>
      <c r="O36" s="10"/>
      <c r="P36" s="10"/>
      <c r="Q36" s="50"/>
      <c r="R36" s="10"/>
      <c r="S36" s="10"/>
      <c r="T36" s="10"/>
      <c r="U36" s="10"/>
      <c r="V36" s="10"/>
      <c r="W36" s="10"/>
      <c r="X36" s="10"/>
      <c r="Y36" s="10"/>
      <c r="Z36" s="10"/>
      <c r="AA36" s="293"/>
      <c r="AB36" s="293"/>
      <c r="AC36" s="293"/>
      <c r="AD36" s="293"/>
      <c r="AE36" s="293"/>
      <c r="AF36" s="293"/>
      <c r="AG36" s="293"/>
      <c r="AH36" s="293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1:47" ht="18" customHeight="1">
      <c r="A37" s="1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41"/>
      <c r="N37" s="21"/>
      <c r="O37" s="21"/>
      <c r="P37" s="69"/>
      <c r="Q37" s="51"/>
      <c r="R37" s="21"/>
      <c r="S37" s="21"/>
      <c r="T37" s="21"/>
      <c r="U37" s="21"/>
      <c r="V37" s="21"/>
      <c r="W37" s="21"/>
      <c r="X37" s="21"/>
      <c r="Y37" s="64"/>
      <c r="Z37" s="21"/>
      <c r="AA37" s="21"/>
      <c r="AB37" s="386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T37" s="16"/>
      <c r="AU37" s="16"/>
    </row>
    <row r="38" spans="1:47" ht="17.25" customHeight="1">
      <c r="A38" s="10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196"/>
      <c r="N38" s="23"/>
      <c r="O38" s="23"/>
      <c r="P38" s="23"/>
      <c r="Q38" s="50"/>
      <c r="R38" s="23"/>
      <c r="S38" s="21"/>
      <c r="T38" s="21"/>
      <c r="U38" s="21"/>
      <c r="V38" s="21"/>
      <c r="W38" s="21"/>
      <c r="X38" s="21"/>
      <c r="Y38" s="56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16"/>
      <c r="AT38" s="16"/>
      <c r="AU38" s="16"/>
    </row>
    <row r="39" spans="1:48" ht="18" customHeight="1">
      <c r="A39" s="1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96"/>
      <c r="N39" s="23"/>
      <c r="O39" s="23"/>
      <c r="P39" s="23"/>
      <c r="Q39" s="55"/>
      <c r="R39" s="23"/>
      <c r="S39" s="23"/>
      <c r="T39" s="23"/>
      <c r="U39" s="23"/>
      <c r="V39" s="23"/>
      <c r="W39" s="23"/>
      <c r="X39" s="23"/>
      <c r="Y39" s="56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192"/>
      <c r="AR39" s="23"/>
      <c r="AS39" s="16"/>
      <c r="AV39" s="3"/>
    </row>
    <row r="40" spans="1:48" ht="18" customHeight="1">
      <c r="A40" s="10"/>
      <c r="B40" s="18" t="s">
        <v>30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196"/>
      <c r="N40" s="23"/>
      <c r="O40" s="23"/>
      <c r="P40" s="23"/>
      <c r="Q40" s="55"/>
      <c r="R40" s="23"/>
      <c r="S40" s="23"/>
      <c r="T40" s="23"/>
      <c r="U40" s="23"/>
      <c r="V40" s="23"/>
      <c r="W40" s="23"/>
      <c r="X40" s="23"/>
      <c r="Y40" s="57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192"/>
      <c r="AO40" s="23"/>
      <c r="AP40" s="23"/>
      <c r="AQ40" s="23"/>
      <c r="AR40" s="23"/>
      <c r="AS40" s="23"/>
      <c r="AV40" s="3"/>
    </row>
    <row r="41" spans="1:48" ht="18" customHeight="1">
      <c r="A41" s="10"/>
      <c r="B41" s="18" t="s">
        <v>15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196"/>
      <c r="N41" s="23"/>
      <c r="O41" s="23"/>
      <c r="P41" s="23"/>
      <c r="Q41" s="55"/>
      <c r="R41" s="23"/>
      <c r="S41" s="1"/>
      <c r="T41" s="1"/>
      <c r="U41" s="1"/>
      <c r="V41" s="1"/>
      <c r="W41" s="1"/>
      <c r="X41" s="1"/>
      <c r="Y41" s="64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92"/>
      <c r="AO41" s="1"/>
      <c r="AP41" s="1"/>
      <c r="AQ41" s="1"/>
      <c r="AR41" s="1"/>
      <c r="AS41" s="1"/>
      <c r="AV41" s="3"/>
    </row>
    <row r="42" spans="1:40" ht="18" customHeight="1">
      <c r="A42" s="10"/>
      <c r="B42" s="19" t="s">
        <v>58</v>
      </c>
      <c r="C42" s="10"/>
      <c r="Q42" s="51"/>
      <c r="Y42" s="57"/>
      <c r="AN42" s="192"/>
    </row>
    <row r="43" spans="1:29" ht="19.5" customHeight="1">
      <c r="A43" s="5"/>
      <c r="B43" s="19" t="s">
        <v>59</v>
      </c>
      <c r="C43" s="5"/>
      <c r="Q43" s="51"/>
      <c r="Y43" s="57"/>
      <c r="AC43" s="8"/>
    </row>
    <row r="44" spans="1:47" ht="15">
      <c r="A44" s="5"/>
      <c r="B44" s="18" t="s">
        <v>80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96"/>
      <c r="N44" s="13"/>
      <c r="O44" s="13"/>
      <c r="P44" s="13"/>
      <c r="Q44" s="55"/>
      <c r="R44" s="13"/>
      <c r="S44" s="13"/>
      <c r="T44" s="13"/>
      <c r="U44" s="13"/>
      <c r="V44" s="13"/>
      <c r="W44" s="13"/>
      <c r="X44" s="13"/>
      <c r="Y44" s="57"/>
      <c r="Z44" s="13"/>
      <c r="AA44" s="13"/>
      <c r="AB44" s="13"/>
      <c r="AC44" s="325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</row>
    <row r="45" spans="1:47" ht="15.7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39"/>
      <c r="N45" s="1"/>
      <c r="O45" s="1"/>
      <c r="P45" s="1"/>
      <c r="Q45" s="55"/>
      <c r="R45" s="1"/>
      <c r="S45" s="1"/>
      <c r="T45" s="1"/>
      <c r="U45" s="1"/>
      <c r="V45" s="1"/>
      <c r="W45" s="1"/>
      <c r="X45" s="1"/>
      <c r="Y45" s="56"/>
      <c r="Z45" s="1"/>
      <c r="AA45" s="1"/>
      <c r="AB45" s="1"/>
      <c r="AC45" s="326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5.7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39"/>
      <c r="N46" s="1"/>
      <c r="O46" s="1"/>
      <c r="P46" s="1"/>
      <c r="Q46" s="55"/>
      <c r="R46" s="1"/>
      <c r="S46" s="1"/>
      <c r="T46" s="43"/>
      <c r="U46" s="43"/>
      <c r="V46" s="43"/>
      <c r="W46" s="43"/>
      <c r="X46" s="1"/>
      <c r="Y46" s="64"/>
      <c r="Z46" s="1"/>
      <c r="AA46" s="1"/>
      <c r="AB46" s="1"/>
      <c r="AC46" s="32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5.75">
      <c r="A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39"/>
      <c r="N47" s="1"/>
      <c r="O47" s="1"/>
      <c r="P47" s="1"/>
      <c r="R47" s="1"/>
      <c r="S47" s="1"/>
      <c r="T47" s="47"/>
      <c r="U47" s="43"/>
      <c r="V47" s="43"/>
      <c r="W47" s="43"/>
      <c r="X47" s="1"/>
      <c r="Y47" s="64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7:25" ht="15" customHeight="1">
      <c r="Q48" s="50"/>
      <c r="T48" s="43"/>
      <c r="U48" s="48"/>
      <c r="V48" s="48"/>
      <c r="W48" s="48"/>
      <c r="Y48" s="57"/>
    </row>
    <row r="49" spans="17:25" ht="15" customHeight="1">
      <c r="Q49" s="50"/>
      <c r="T49" s="48"/>
      <c r="U49" s="43"/>
      <c r="V49" s="43"/>
      <c r="W49" s="43"/>
      <c r="Y49" s="64"/>
    </row>
    <row r="50" spans="5:25" ht="15" customHeight="1">
      <c r="E50" s="521"/>
      <c r="F50" s="8"/>
      <c r="G50" s="8"/>
      <c r="H50" s="8"/>
      <c r="I50" s="8"/>
      <c r="J50" s="8"/>
      <c r="K50" s="521"/>
      <c r="L50" s="521"/>
      <c r="M50" s="521"/>
      <c r="N50" s="521"/>
      <c r="O50" s="521"/>
      <c r="Q50" s="55"/>
      <c r="T50" s="43"/>
      <c r="U50" s="43"/>
      <c r="V50" s="43"/>
      <c r="W50" s="48"/>
      <c r="Y50" s="56"/>
    </row>
    <row r="51" spans="5:25" ht="15" customHeight="1">
      <c r="E51" s="521"/>
      <c r="F51" s="8"/>
      <c r="G51" s="8"/>
      <c r="H51" s="8"/>
      <c r="I51" s="8"/>
      <c r="J51" s="8"/>
      <c r="K51" s="521"/>
      <c r="L51" s="8"/>
      <c r="M51" s="51"/>
      <c r="N51" s="8"/>
      <c r="O51" s="8"/>
      <c r="T51" s="43"/>
      <c r="U51" s="48"/>
      <c r="V51" s="43"/>
      <c r="W51" s="43"/>
      <c r="Y51" s="57"/>
    </row>
    <row r="52" spans="2:25" ht="15" customHeight="1">
      <c r="B52" s="11"/>
      <c r="E52" s="8"/>
      <c r="F52" s="8"/>
      <c r="G52" s="8"/>
      <c r="H52" s="8"/>
      <c r="I52" s="8"/>
      <c r="J52" s="8"/>
      <c r="K52" s="8"/>
      <c r="L52" s="8"/>
      <c r="M52" s="51"/>
      <c r="N52" s="8"/>
      <c r="O52" s="8"/>
      <c r="T52" s="48"/>
      <c r="U52" s="48"/>
      <c r="V52" s="48"/>
      <c r="W52" s="43"/>
      <c r="Y52" s="57"/>
    </row>
    <row r="53" spans="2:47" ht="18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99"/>
      <c r="N53" s="11"/>
      <c r="O53" s="11"/>
      <c r="P53" s="11"/>
      <c r="Q53" s="55"/>
      <c r="R53" s="11"/>
      <c r="S53" s="8"/>
      <c r="T53" s="43"/>
      <c r="U53" s="43"/>
      <c r="V53" s="43"/>
      <c r="W53" s="43"/>
      <c r="X53" s="11"/>
      <c r="Y53" s="57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2:47" ht="18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99"/>
      <c r="N54" s="11"/>
      <c r="O54" s="11"/>
      <c r="P54" s="11"/>
      <c r="Q54" s="51"/>
      <c r="R54" s="11"/>
      <c r="S54" s="8"/>
      <c r="T54" s="48"/>
      <c r="U54" s="43"/>
      <c r="V54" s="43"/>
      <c r="W54" s="48"/>
      <c r="X54" s="11"/>
      <c r="Y54" s="57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2:47" ht="18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99"/>
      <c r="N55" s="11"/>
      <c r="O55" s="190"/>
      <c r="S55" s="8"/>
      <c r="T55" s="43"/>
      <c r="U55" s="43"/>
      <c r="V55" s="48"/>
      <c r="W55" s="43"/>
      <c r="X55" s="11"/>
      <c r="Y55" s="64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2:47" ht="18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99"/>
      <c r="N56" s="11"/>
      <c r="O56" s="190"/>
      <c r="P56" s="11"/>
      <c r="R56" s="11"/>
      <c r="S56" s="8"/>
      <c r="T56" s="43"/>
      <c r="U56" s="48"/>
      <c r="V56" s="43"/>
      <c r="W56" s="43"/>
      <c r="X56" s="11"/>
      <c r="Y56" s="64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2:47" ht="18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99"/>
      <c r="N57" s="11"/>
      <c r="O57" s="191"/>
      <c r="P57" s="11"/>
      <c r="R57" s="11"/>
      <c r="S57" s="8"/>
      <c r="T57" s="43"/>
      <c r="U57" s="43"/>
      <c r="V57" s="43"/>
      <c r="W57" s="43"/>
      <c r="X57" s="11"/>
      <c r="Y57" s="56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2:47" ht="18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99"/>
      <c r="N58" s="11"/>
      <c r="O58" s="190"/>
      <c r="P58" s="11"/>
      <c r="Q58" s="50"/>
      <c r="R58" s="11"/>
      <c r="S58" s="8"/>
      <c r="T58" s="43"/>
      <c r="U58" s="43"/>
      <c r="V58" s="43"/>
      <c r="W58" s="43"/>
      <c r="X58" s="11"/>
      <c r="Y58" s="56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</row>
    <row r="59" spans="3:47" ht="18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99"/>
      <c r="N59" s="11"/>
      <c r="O59" s="11"/>
      <c r="P59" s="11"/>
      <c r="Q59" s="50"/>
      <c r="R59" s="11"/>
      <c r="S59" s="8"/>
      <c r="T59" s="48"/>
      <c r="U59" s="48"/>
      <c r="V59" s="43"/>
      <c r="W59" s="43"/>
      <c r="X59" s="11"/>
      <c r="Y59" s="56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</row>
    <row r="60" spans="20:25" ht="15">
      <c r="T60" s="47"/>
      <c r="U60" s="43"/>
      <c r="V60" s="43"/>
      <c r="W60" s="43"/>
      <c r="Y60" s="56"/>
    </row>
    <row r="61" spans="17:25" ht="15">
      <c r="Q61" s="50"/>
      <c r="T61" s="48"/>
      <c r="U61" s="43"/>
      <c r="V61" s="48"/>
      <c r="W61" s="43"/>
      <c r="Y61" s="57"/>
    </row>
    <row r="62" spans="20:25" ht="15">
      <c r="T62" s="43"/>
      <c r="U62" s="48"/>
      <c r="V62" s="47"/>
      <c r="W62" s="47"/>
      <c r="Y62" s="56"/>
    </row>
    <row r="63" spans="17:23" ht="15">
      <c r="Q63" s="51"/>
      <c r="T63" s="43"/>
      <c r="U63" s="43"/>
      <c r="V63" s="48"/>
      <c r="W63" s="48"/>
    </row>
    <row r="64" spans="20:23" ht="15">
      <c r="T64" s="43"/>
      <c r="U64" s="48"/>
      <c r="V64" s="43"/>
      <c r="W64" s="43"/>
    </row>
    <row r="65" spans="20:23" ht="15">
      <c r="T65" s="43"/>
      <c r="U65" s="47"/>
      <c r="V65" s="48"/>
      <c r="W65" s="48"/>
    </row>
    <row r="66" spans="17:23" ht="15">
      <c r="Q66" s="51"/>
      <c r="T66" s="43"/>
      <c r="U66" s="43"/>
      <c r="V66" s="43"/>
      <c r="W66" s="48"/>
    </row>
    <row r="67" spans="17:23" ht="15">
      <c r="Q67" s="51"/>
      <c r="T67" s="43"/>
      <c r="U67" s="43"/>
      <c r="V67" s="47"/>
      <c r="W67" s="43"/>
    </row>
    <row r="68" spans="20:23" ht="15">
      <c r="T68" s="43"/>
      <c r="U68" s="43"/>
      <c r="V68" s="43"/>
      <c r="W68" s="47"/>
    </row>
    <row r="69" spans="17:23" ht="15">
      <c r="Q69" s="55"/>
      <c r="T69" s="48"/>
      <c r="U69" s="47"/>
      <c r="V69" s="48"/>
      <c r="W69" s="48"/>
    </row>
    <row r="70" spans="17:23" ht="15">
      <c r="Q70" s="50"/>
      <c r="T70" s="43"/>
      <c r="U70" s="43"/>
      <c r="V70" s="43"/>
      <c r="W70" s="43"/>
    </row>
    <row r="71" spans="17:23" ht="15">
      <c r="Q71" s="50"/>
      <c r="T71" s="48"/>
      <c r="U71" s="43"/>
      <c r="V71" s="43"/>
      <c r="W71" s="43"/>
    </row>
  </sheetData>
  <sheetProtection/>
  <mergeCells count="54">
    <mergeCell ref="L50:O50"/>
    <mergeCell ref="E50:E51"/>
    <mergeCell ref="K50:K51"/>
    <mergeCell ref="S5:V5"/>
    <mergeCell ref="N5:N6"/>
    <mergeCell ref="P5:P6"/>
    <mergeCell ref="R5:R6"/>
    <mergeCell ref="E5:E6"/>
    <mergeCell ref="Q5:Q6"/>
    <mergeCell ref="J5:J6"/>
    <mergeCell ref="A4:A6"/>
    <mergeCell ref="B4:B6"/>
    <mergeCell ref="C5:C6"/>
    <mergeCell ref="D5:D6"/>
    <mergeCell ref="C4:F4"/>
    <mergeCell ref="O4:R4"/>
    <mergeCell ref="W5:Z5"/>
    <mergeCell ref="G4:J4"/>
    <mergeCell ref="G5:G6"/>
    <mergeCell ref="O5:O6"/>
    <mergeCell ref="S4:Z4"/>
    <mergeCell ref="I5:I6"/>
    <mergeCell ref="K4:N4"/>
    <mergeCell ref="AU5:AU6"/>
    <mergeCell ref="AN5:AN6"/>
    <mergeCell ref="AR5:AR6"/>
    <mergeCell ref="F5:F6"/>
    <mergeCell ref="H5:H6"/>
    <mergeCell ref="AN4:AQ4"/>
    <mergeCell ref="AO5:AO6"/>
    <mergeCell ref="L5:L6"/>
    <mergeCell ref="K5:K6"/>
    <mergeCell ref="M5:M6"/>
    <mergeCell ref="AE4:AH4"/>
    <mergeCell ref="AE5:AE6"/>
    <mergeCell ref="AA4:AD4"/>
    <mergeCell ref="AC5:AC6"/>
    <mergeCell ref="AD5:AD6"/>
    <mergeCell ref="AF5:AF6"/>
    <mergeCell ref="AQ5:AQ6"/>
    <mergeCell ref="AS5:AS6"/>
    <mergeCell ref="AT5:AT6"/>
    <mergeCell ref="AG5:AG6"/>
    <mergeCell ref="AJ5:AJ6"/>
    <mergeCell ref="A34:B34"/>
    <mergeCell ref="AR4:AU4"/>
    <mergeCell ref="AL5:AL6"/>
    <mergeCell ref="AP5:AP6"/>
    <mergeCell ref="AB5:AB6"/>
    <mergeCell ref="AA5:AA6"/>
    <mergeCell ref="AI4:AL4"/>
    <mergeCell ref="AI5:AI6"/>
    <mergeCell ref="AK5:AK6"/>
    <mergeCell ref="AH5:AH6"/>
  </mergeCells>
  <conditionalFormatting sqref="AL7:AL32">
    <cfRule type="top10" priority="85" dxfId="3" stopIfTrue="1" rank="5" bottom="1"/>
    <cfRule type="top10" priority="86" dxfId="0" stopIfTrue="1" rank="5"/>
  </conditionalFormatting>
  <conditionalFormatting sqref="AO7:AO34">
    <cfRule type="top10" priority="14" dxfId="3" stopIfTrue="1" rank="5" bottom="1"/>
    <cfRule type="top10" priority="15" dxfId="0" stopIfTrue="1" rank="5"/>
  </conditionalFormatting>
  <conditionalFormatting sqref="AP7:AQ34">
    <cfRule type="top10" priority="12" dxfId="3" stopIfTrue="1" rank="5" bottom="1"/>
    <cfRule type="top10" priority="13" dxfId="0" stopIfTrue="1" rank="5"/>
  </conditionalFormatting>
  <conditionalFormatting sqref="S7:S32">
    <cfRule type="top10" priority="117" dxfId="3" stopIfTrue="1" rank="5" bottom="1"/>
    <cfRule type="top10" priority="118" dxfId="0" stopIfTrue="1" rank="5"/>
  </conditionalFormatting>
  <conditionalFormatting sqref="T7:T32">
    <cfRule type="top10" priority="115" dxfId="3" stopIfTrue="1" rank="5" bottom="1"/>
    <cfRule type="top10" priority="116" dxfId="0" stopIfTrue="1" rank="5"/>
  </conditionalFormatting>
  <conditionalFormatting sqref="U7:U32">
    <cfRule type="top10" priority="113" dxfId="3" stopIfTrue="1" rank="5" bottom="1"/>
    <cfRule type="top10" priority="114" dxfId="0" stopIfTrue="1" rank="5"/>
  </conditionalFormatting>
  <conditionalFormatting sqref="V7:V32">
    <cfRule type="top10" priority="111" dxfId="3" stopIfTrue="1" rank="5" bottom="1"/>
    <cfRule type="top10" priority="112" dxfId="0" stopIfTrue="1" rank="5"/>
  </conditionalFormatting>
  <conditionalFormatting sqref="W7:W32">
    <cfRule type="top10" priority="108" dxfId="3" stopIfTrue="1" rank="5" bottom="1"/>
    <cfRule type="top10" priority="109" dxfId="117" stopIfTrue="1" rank="5" bottom="1"/>
    <cfRule type="top10" priority="110" dxfId="0" stopIfTrue="1" rank="5"/>
  </conditionalFormatting>
  <conditionalFormatting sqref="X7:X32">
    <cfRule type="top10" priority="106" dxfId="3" stopIfTrue="1" rank="5" bottom="1"/>
    <cfRule type="top10" priority="107" dxfId="0" stopIfTrue="1" rank="5"/>
  </conditionalFormatting>
  <conditionalFormatting sqref="Y7:Y32">
    <cfRule type="top10" priority="104" dxfId="3" stopIfTrue="1" rank="5" bottom="1"/>
    <cfRule type="top10" priority="105" dxfId="0" stopIfTrue="1" rank="5"/>
  </conditionalFormatting>
  <conditionalFormatting sqref="Z7:Z32">
    <cfRule type="top10" priority="102" dxfId="3" stopIfTrue="1" rank="5" bottom="1"/>
    <cfRule type="top10" priority="103" dxfId="0" stopIfTrue="1" rank="5"/>
  </conditionalFormatting>
  <conditionalFormatting sqref="AJ7:AK32 AJ34:AK34">
    <cfRule type="top10" priority="89" dxfId="3" stopIfTrue="1" rank="5" bottom="1"/>
    <cfRule type="top10" priority="90" dxfId="0" stopIfTrue="1" rank="5"/>
  </conditionalFormatting>
  <conditionalFormatting sqref="AK7:AK32 AK34">
    <cfRule type="top10" priority="87" dxfId="3" stopIfTrue="1" rank="5" bottom="1"/>
    <cfRule type="top10" priority="88" dxfId="0" stopIfTrue="1" rank="5"/>
  </conditionalFormatting>
  <conditionalFormatting sqref="AN7:AN34 AO14:AP14 AO15:AO34 AO7:AO13 AP7:AQ34">
    <cfRule type="top10" priority="91" dxfId="3" stopIfTrue="1" rank="5" bottom="1"/>
    <cfRule type="top10" priority="92" dxfId="0" stopIfTrue="1" rank="5"/>
  </conditionalFormatting>
  <printOptions/>
  <pageMargins left="0.07874015748031496" right="0.07874015748031496" top="0.5118110236220472" bottom="0.5118110236220472" header="0.2362204724409449" footer="0.2362204724409449"/>
  <pageSetup horizontalDpi="600" verticalDpi="600" orientation="landscape" paperSize="9" scale="66" r:id="rId3"/>
  <legacyDrawing r:id="rId2"/>
  <oleObjects>
    <oleObject progId="Word.Picture.8" shapeId="7641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G60"/>
  <sheetViews>
    <sheetView zoomScalePageLayoutView="0" workbookViewId="0" topLeftCell="A1">
      <pane xSplit="2" ySplit="7" topLeftCell="D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A36" sqref="AA36"/>
    </sheetView>
  </sheetViews>
  <sheetFormatPr defaultColWidth="7.8515625" defaultRowHeight="12.75"/>
  <cols>
    <col min="1" max="1" width="4.8515625" style="125" customWidth="1"/>
    <col min="2" max="2" width="12.57421875" style="125" customWidth="1"/>
    <col min="3" max="3" width="10.00390625" style="125" customWidth="1"/>
    <col min="4" max="4" width="6.8515625" style="125" customWidth="1"/>
    <col min="5" max="5" width="11.7109375" style="125" hidden="1" customWidth="1"/>
    <col min="6" max="6" width="10.140625" style="125" bestFit="1" customWidth="1"/>
    <col min="7" max="7" width="8.140625" style="125" customWidth="1"/>
    <col min="8" max="8" width="11.57421875" style="125" customWidth="1"/>
    <col min="9" max="11" width="11.7109375" style="125" hidden="1" customWidth="1"/>
    <col min="12" max="12" width="10.140625" style="125" bestFit="1" customWidth="1"/>
    <col min="13" max="13" width="7.28125" style="125" customWidth="1"/>
    <col min="14" max="14" width="13.00390625" style="125" bestFit="1" customWidth="1"/>
    <col min="15" max="20" width="8.7109375" style="125" customWidth="1"/>
    <col min="21" max="23" width="11.7109375" style="125" hidden="1" customWidth="1"/>
    <col min="24" max="24" width="10.421875" style="125" hidden="1" customWidth="1"/>
    <col min="25" max="25" width="10.28125" style="125" hidden="1" customWidth="1"/>
    <col min="26" max="26" width="11.7109375" style="125" hidden="1" customWidth="1"/>
    <col min="27" max="27" width="11.8515625" style="125" customWidth="1"/>
    <col min="28" max="28" width="12.28125" style="125" customWidth="1"/>
    <col min="29" max="29" width="13.7109375" style="125" customWidth="1"/>
    <col min="30" max="30" width="7.8515625" style="125" customWidth="1"/>
    <col min="31" max="31" width="8.00390625" style="125" bestFit="1" customWidth="1"/>
    <col min="32" max="32" width="8.7109375" style="125" customWidth="1"/>
    <col min="33" max="16384" width="7.8515625" style="125" customWidth="1"/>
  </cols>
  <sheetData>
    <row r="1" spans="1:26" ht="12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316" t="s">
        <v>132</v>
      </c>
    </row>
    <row r="2" spans="1:27" ht="16.5" customHeight="1">
      <c r="A2" s="133" t="s">
        <v>215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AA2" s="136"/>
    </row>
    <row r="3" spans="1:26" ht="9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32" ht="19.5" customHeight="1">
      <c r="A4" s="522" t="s">
        <v>18</v>
      </c>
      <c r="B4" s="522" t="s">
        <v>17</v>
      </c>
      <c r="C4" s="526" t="s">
        <v>138</v>
      </c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0" t="s">
        <v>139</v>
      </c>
      <c r="V4" s="520"/>
      <c r="W4" s="520"/>
      <c r="X4" s="520"/>
      <c r="Y4" s="520"/>
      <c r="Z4" s="522" t="s">
        <v>170</v>
      </c>
      <c r="AA4" s="527" t="s">
        <v>147</v>
      </c>
      <c r="AB4" s="527"/>
      <c r="AC4" s="520" t="s">
        <v>217</v>
      </c>
      <c r="AF4" s="136"/>
    </row>
    <row r="5" spans="1:32" ht="15" customHeight="1">
      <c r="A5" s="523"/>
      <c r="B5" s="523"/>
      <c r="C5" s="520" t="s">
        <v>200</v>
      </c>
      <c r="D5" s="520"/>
      <c r="E5" s="520"/>
      <c r="F5" s="520" t="s">
        <v>188</v>
      </c>
      <c r="G5" s="520"/>
      <c r="H5" s="520"/>
      <c r="I5" s="520" t="s">
        <v>201</v>
      </c>
      <c r="J5" s="520"/>
      <c r="K5" s="520"/>
      <c r="L5" s="520" t="s">
        <v>216</v>
      </c>
      <c r="M5" s="520"/>
      <c r="N5" s="520"/>
      <c r="O5" s="525" t="s">
        <v>89</v>
      </c>
      <c r="P5" s="526"/>
      <c r="Q5" s="526"/>
      <c r="R5" s="526"/>
      <c r="S5" s="526"/>
      <c r="T5" s="526"/>
      <c r="U5" s="522" t="s">
        <v>168</v>
      </c>
      <c r="V5" s="522" t="s">
        <v>76</v>
      </c>
      <c r="W5" s="522" t="s">
        <v>169</v>
      </c>
      <c r="X5" s="520" t="s">
        <v>88</v>
      </c>
      <c r="Y5" s="520"/>
      <c r="Z5" s="523"/>
      <c r="AA5" s="527"/>
      <c r="AB5" s="527"/>
      <c r="AC5" s="520"/>
      <c r="AF5"/>
    </row>
    <row r="6" spans="1:32" ht="22.5" customHeight="1">
      <c r="A6" s="523"/>
      <c r="B6" s="523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0" t="s">
        <v>0</v>
      </c>
      <c r="P6" s="520"/>
      <c r="Q6" s="520"/>
      <c r="R6" s="520" t="s">
        <v>177</v>
      </c>
      <c r="S6" s="520"/>
      <c r="T6" s="520"/>
      <c r="U6" s="523"/>
      <c r="V6" s="523"/>
      <c r="W6" s="523"/>
      <c r="X6" s="522" t="s">
        <v>0</v>
      </c>
      <c r="Y6" s="522" t="s">
        <v>167</v>
      </c>
      <c r="Z6" s="523"/>
      <c r="AA6" s="528" t="s">
        <v>14</v>
      </c>
      <c r="AB6" s="528" t="s">
        <v>187</v>
      </c>
      <c r="AC6" s="520"/>
      <c r="AF6" s="136"/>
    </row>
    <row r="7" spans="1:31" ht="20.25" customHeight="1">
      <c r="A7" s="524"/>
      <c r="B7" s="524"/>
      <c r="C7" s="135" t="s">
        <v>171</v>
      </c>
      <c r="D7" s="135" t="s">
        <v>172</v>
      </c>
      <c r="E7" s="135" t="s">
        <v>2</v>
      </c>
      <c r="F7" s="135" t="s">
        <v>171</v>
      </c>
      <c r="G7" s="135" t="s">
        <v>172</v>
      </c>
      <c r="H7" s="135" t="s">
        <v>2</v>
      </c>
      <c r="I7" s="135" t="s">
        <v>171</v>
      </c>
      <c r="J7" s="135" t="s">
        <v>172</v>
      </c>
      <c r="K7" s="135" t="s">
        <v>2</v>
      </c>
      <c r="L7" s="135" t="s">
        <v>171</v>
      </c>
      <c r="M7" s="135" t="s">
        <v>172</v>
      </c>
      <c r="N7" s="135" t="s">
        <v>2</v>
      </c>
      <c r="O7" s="135" t="s">
        <v>171</v>
      </c>
      <c r="P7" s="135" t="s">
        <v>172</v>
      </c>
      <c r="Q7" s="135" t="s">
        <v>2</v>
      </c>
      <c r="R7" s="135" t="s">
        <v>171</v>
      </c>
      <c r="S7" s="135" t="s">
        <v>172</v>
      </c>
      <c r="T7" s="135" t="s">
        <v>2</v>
      </c>
      <c r="U7" s="524"/>
      <c r="V7" s="524"/>
      <c r="W7" s="524"/>
      <c r="X7" s="524"/>
      <c r="Y7" s="524"/>
      <c r="Z7" s="524"/>
      <c r="AA7" s="528"/>
      <c r="AB7" s="528"/>
      <c r="AC7" s="520"/>
      <c r="AD7" s="379"/>
      <c r="AE7" s="136"/>
    </row>
    <row r="8" spans="1:32" ht="21" customHeight="1">
      <c r="A8" s="59">
        <v>1</v>
      </c>
      <c r="B8" s="44" t="s">
        <v>39</v>
      </c>
      <c r="C8" s="35">
        <v>6083</v>
      </c>
      <c r="D8" s="35">
        <v>1</v>
      </c>
      <c r="E8" s="35">
        <f>SUM(C8:D8)</f>
        <v>6084</v>
      </c>
      <c r="F8" s="35">
        <v>1700</v>
      </c>
      <c r="G8" s="35">
        <v>261</v>
      </c>
      <c r="H8" s="35">
        <f aca="true" t="shared" si="0" ref="H8:H33">SUM(F8:G8)</f>
        <v>1961</v>
      </c>
      <c r="I8" s="35">
        <v>6748</v>
      </c>
      <c r="J8" s="448">
        <v>2</v>
      </c>
      <c r="K8" s="35">
        <f>SUM(I8:J8)</f>
        <v>6750</v>
      </c>
      <c r="L8" s="35">
        <v>6922</v>
      </c>
      <c r="M8" s="448">
        <v>1</v>
      </c>
      <c r="N8" s="35">
        <f aca="true" t="shared" si="1" ref="N8:N33">L8+M8</f>
        <v>6923</v>
      </c>
      <c r="O8" s="35">
        <f aca="true" t="shared" si="2" ref="O8:O33">L8-I8</f>
        <v>174</v>
      </c>
      <c r="P8" s="35">
        <f aca="true" t="shared" si="3" ref="P8:P33">M8-J8</f>
        <v>-1</v>
      </c>
      <c r="Q8" s="35">
        <f>O8+P8</f>
        <v>173</v>
      </c>
      <c r="R8" s="35">
        <f aca="true" t="shared" si="4" ref="R8:R33">L8-C8</f>
        <v>839</v>
      </c>
      <c r="S8" s="35">
        <f>M8-D8</f>
        <v>0</v>
      </c>
      <c r="T8" s="35">
        <f>R8+S8</f>
        <v>839</v>
      </c>
      <c r="U8" s="35">
        <v>7100</v>
      </c>
      <c r="V8" s="35">
        <v>7100</v>
      </c>
      <c r="W8" s="35">
        <v>7100</v>
      </c>
      <c r="X8" s="35">
        <f aca="true" t="shared" si="5" ref="X8:X33">W8-V8</f>
        <v>0</v>
      </c>
      <c r="Y8" s="35">
        <f aca="true" t="shared" si="6" ref="Y8:Y33">W8-U8</f>
        <v>0</v>
      </c>
      <c r="Z8" s="181">
        <f aca="true" t="shared" si="7" ref="Z8:Z34">L8/W8*100</f>
        <v>97.49295774647887</v>
      </c>
      <c r="AA8" s="35">
        <f>O8+P8+'Feb 13(7)'!V8</f>
        <v>552</v>
      </c>
      <c r="AB8" s="35">
        <f>T8+'Feb 13(7)'!Z8</f>
        <v>2285</v>
      </c>
      <c r="AC8" s="35">
        <f>N8+'Feb 13(7)'!R8</f>
        <v>9949</v>
      </c>
      <c r="AD8" s="378"/>
      <c r="AE8" s="183">
        <f>AA8/(F8+G8+'Feb 13(7)'!H8+'Feb 13(7)'!I8)*100</f>
        <v>22.781675608749484</v>
      </c>
      <c r="AF8" s="181">
        <f>AB8/(F8+G8+'Feb 13(7)'!H8+'Feb 13(7)'!I8)*100</f>
        <v>94.30458109781263</v>
      </c>
    </row>
    <row r="9" spans="1:32" ht="21" customHeight="1">
      <c r="A9" s="60">
        <v>2</v>
      </c>
      <c r="B9" s="45" t="s">
        <v>65</v>
      </c>
      <c r="C9" s="33">
        <v>922385</v>
      </c>
      <c r="D9" s="33">
        <v>542</v>
      </c>
      <c r="E9" s="33">
        <f aca="true" t="shared" si="8" ref="E9:E33">SUM(C9:D9)</f>
        <v>922927</v>
      </c>
      <c r="F9" s="33">
        <v>235800</v>
      </c>
      <c r="G9" s="33">
        <v>17624</v>
      </c>
      <c r="H9" s="33">
        <f t="shared" si="0"/>
        <v>253424</v>
      </c>
      <c r="I9" s="33">
        <v>1025130</v>
      </c>
      <c r="J9" s="448">
        <v>1210</v>
      </c>
      <c r="K9" s="33">
        <f aca="true" t="shared" si="9" ref="K9:K33">SUM(I9:J9)</f>
        <v>1026340</v>
      </c>
      <c r="L9" s="33">
        <v>1024912</v>
      </c>
      <c r="M9" s="448">
        <v>1288</v>
      </c>
      <c r="N9" s="33">
        <f t="shared" si="1"/>
        <v>1026200</v>
      </c>
      <c r="O9" s="33">
        <f t="shared" si="2"/>
        <v>-218</v>
      </c>
      <c r="P9" s="33">
        <f t="shared" si="3"/>
        <v>78</v>
      </c>
      <c r="Q9" s="33">
        <f aca="true" t="shared" si="10" ref="Q9:Q33">O9+P9</f>
        <v>-140</v>
      </c>
      <c r="R9" s="33">
        <f t="shared" si="4"/>
        <v>102527</v>
      </c>
      <c r="S9" s="33">
        <f aca="true" t="shared" si="11" ref="S9:S33">M9-D9</f>
        <v>746</v>
      </c>
      <c r="T9" s="33">
        <f aca="true" t="shared" si="12" ref="T9:T33">R9+S9</f>
        <v>103273</v>
      </c>
      <c r="U9" s="33">
        <v>840364</v>
      </c>
      <c r="V9" s="33">
        <v>840364</v>
      </c>
      <c r="W9" s="33">
        <v>854156</v>
      </c>
      <c r="X9" s="33">
        <f t="shared" si="5"/>
        <v>13792</v>
      </c>
      <c r="Y9" s="33">
        <f t="shared" si="6"/>
        <v>13792</v>
      </c>
      <c r="Z9" s="182">
        <f t="shared" si="7"/>
        <v>119.99119598761818</v>
      </c>
      <c r="AA9" s="33">
        <f>O9+P9+'Feb 13(7)'!V9</f>
        <v>4</v>
      </c>
      <c r="AB9" s="33">
        <f>T9+'Feb 13(7)'!Z9</f>
        <v>103774</v>
      </c>
      <c r="AC9" s="33">
        <f>N9+'Feb 13(7)'!R9</f>
        <v>1029895</v>
      </c>
      <c r="AE9" s="181">
        <f>AA9/(F9+G9+'Feb 13(7)'!H9+'Feb 13(7)'!I9)*100</f>
        <v>0.0015101234903484233</v>
      </c>
      <c r="AF9" s="181">
        <f>AB9/(F9+G9+'Feb 13(7)'!H9+'Feb 13(7)'!I9)*100</f>
        <v>39.17788877185432</v>
      </c>
    </row>
    <row r="10" spans="1:32" ht="21" customHeight="1">
      <c r="A10" s="61">
        <v>3</v>
      </c>
      <c r="B10" s="46" t="s">
        <v>3</v>
      </c>
      <c r="C10" s="34">
        <v>84849</v>
      </c>
      <c r="D10" s="34">
        <v>6</v>
      </c>
      <c r="E10" s="34">
        <f t="shared" si="8"/>
        <v>84855</v>
      </c>
      <c r="F10" s="34">
        <v>29500</v>
      </c>
      <c r="G10" s="34">
        <v>1178</v>
      </c>
      <c r="H10" s="34">
        <f t="shared" si="0"/>
        <v>30678</v>
      </c>
      <c r="I10" s="34">
        <v>92957</v>
      </c>
      <c r="J10" s="448">
        <v>6</v>
      </c>
      <c r="K10" s="34">
        <f t="shared" si="9"/>
        <v>92963</v>
      </c>
      <c r="L10" s="34">
        <v>93324</v>
      </c>
      <c r="M10" s="448">
        <v>18</v>
      </c>
      <c r="N10" s="34">
        <f t="shared" si="1"/>
        <v>93342</v>
      </c>
      <c r="O10" s="34">
        <f t="shared" si="2"/>
        <v>367</v>
      </c>
      <c r="P10" s="34">
        <f t="shared" si="3"/>
        <v>12</v>
      </c>
      <c r="Q10" s="34">
        <f t="shared" si="10"/>
        <v>379</v>
      </c>
      <c r="R10" s="34">
        <f t="shared" si="4"/>
        <v>8475</v>
      </c>
      <c r="S10" s="34">
        <f t="shared" si="11"/>
        <v>12</v>
      </c>
      <c r="T10" s="34">
        <f t="shared" si="12"/>
        <v>8487</v>
      </c>
      <c r="U10" s="34">
        <v>103072</v>
      </c>
      <c r="V10" s="34">
        <v>103072</v>
      </c>
      <c r="W10" s="34">
        <v>114032</v>
      </c>
      <c r="X10" s="34">
        <f t="shared" si="5"/>
        <v>10960</v>
      </c>
      <c r="Y10" s="34">
        <f t="shared" si="6"/>
        <v>10960</v>
      </c>
      <c r="Z10" s="183">
        <f t="shared" si="7"/>
        <v>81.84018521116879</v>
      </c>
      <c r="AA10" s="34">
        <f>O10+P10+'Feb 13(7)'!V10</f>
        <v>639</v>
      </c>
      <c r="AB10" s="34">
        <f>T10+'Feb 13(7)'!Z10</f>
        <v>10604</v>
      </c>
      <c r="AC10" s="34">
        <f>N10+'Feb 13(7)'!R10</f>
        <v>103192</v>
      </c>
      <c r="AE10" s="181">
        <f>AA10/(F10+G10+'Feb 13(7)'!H10+'Feb 13(7)'!I10)*100</f>
        <v>1.709333119332317</v>
      </c>
      <c r="AF10" s="181">
        <f>AB10/(F10+G10+'Feb 13(7)'!H10+'Feb 13(7)'!I10)*100</f>
        <v>28.365834737715005</v>
      </c>
    </row>
    <row r="11" spans="1:32" ht="21" customHeight="1">
      <c r="A11" s="59">
        <v>4</v>
      </c>
      <c r="B11" s="44" t="s">
        <v>31</v>
      </c>
      <c r="C11" s="35">
        <v>96013</v>
      </c>
      <c r="D11" s="35">
        <v>72</v>
      </c>
      <c r="E11" s="35">
        <f t="shared" si="8"/>
        <v>96085</v>
      </c>
      <c r="F11" s="35">
        <v>35000</v>
      </c>
      <c r="G11" s="35">
        <v>7033</v>
      </c>
      <c r="H11" s="35">
        <f>SUM(F11:G11)</f>
        <v>42033</v>
      </c>
      <c r="I11" s="35">
        <v>107969</v>
      </c>
      <c r="J11" s="448">
        <v>126</v>
      </c>
      <c r="K11" s="35">
        <f t="shared" si="9"/>
        <v>108095</v>
      </c>
      <c r="L11" s="35">
        <v>108745</v>
      </c>
      <c r="M11" s="448">
        <v>131</v>
      </c>
      <c r="N11" s="35">
        <f t="shared" si="1"/>
        <v>108876</v>
      </c>
      <c r="O11" s="35">
        <f t="shared" si="2"/>
        <v>776</v>
      </c>
      <c r="P11" s="35">
        <f t="shared" si="3"/>
        <v>5</v>
      </c>
      <c r="Q11" s="35">
        <f t="shared" si="10"/>
        <v>781</v>
      </c>
      <c r="R11" s="35">
        <f t="shared" si="4"/>
        <v>12732</v>
      </c>
      <c r="S11" s="35">
        <f t="shared" si="11"/>
        <v>59</v>
      </c>
      <c r="T11" s="35">
        <f t="shared" si="12"/>
        <v>12791</v>
      </c>
      <c r="U11" s="35">
        <v>205268</v>
      </c>
      <c r="V11" s="35">
        <v>205268</v>
      </c>
      <c r="W11" s="35">
        <v>217908</v>
      </c>
      <c r="X11" s="35">
        <f t="shared" si="5"/>
        <v>12640</v>
      </c>
      <c r="Y11" s="35">
        <f t="shared" si="6"/>
        <v>12640</v>
      </c>
      <c r="Z11" s="181">
        <f t="shared" si="7"/>
        <v>49.90408796372781</v>
      </c>
      <c r="AA11" s="35">
        <f>O11+P11+'Feb 13(7)'!V11</f>
        <v>659</v>
      </c>
      <c r="AB11" s="35">
        <f>T11+'Feb 13(7)'!Z11</f>
        <v>14219</v>
      </c>
      <c r="AC11" s="35">
        <f>N11+'Feb 13(7)'!R11</f>
        <v>113130</v>
      </c>
      <c r="AE11" s="181">
        <f>AA11/(F11+G11+'Feb 13(7)'!H11+'Feb 13(7)'!I11)*100</f>
        <v>1.1573992764059153</v>
      </c>
      <c r="AF11" s="181">
        <f>AB11/(F11+G11+'Feb 13(7)'!H11+'Feb 13(7)'!I11)*100</f>
        <v>24.97277740700411</v>
      </c>
    </row>
    <row r="12" spans="1:32" ht="21" customHeight="1">
      <c r="A12" s="60">
        <v>5</v>
      </c>
      <c r="B12" s="45" t="s">
        <v>5</v>
      </c>
      <c r="C12" s="33">
        <v>88809</v>
      </c>
      <c r="D12" s="33">
        <v>23</v>
      </c>
      <c r="E12" s="33">
        <f t="shared" si="8"/>
        <v>88832</v>
      </c>
      <c r="F12" s="33">
        <v>23600</v>
      </c>
      <c r="G12" s="33">
        <v>7476</v>
      </c>
      <c r="H12" s="33">
        <f t="shared" si="0"/>
        <v>31076</v>
      </c>
      <c r="I12" s="33">
        <v>98790</v>
      </c>
      <c r="J12" s="448">
        <v>70</v>
      </c>
      <c r="K12" s="33">
        <f t="shared" si="9"/>
        <v>98860</v>
      </c>
      <c r="L12" s="33">
        <v>99279</v>
      </c>
      <c r="M12" s="448">
        <v>79</v>
      </c>
      <c r="N12" s="33">
        <f t="shared" si="1"/>
        <v>99358</v>
      </c>
      <c r="O12" s="33">
        <f t="shared" si="2"/>
        <v>489</v>
      </c>
      <c r="P12" s="33">
        <f t="shared" si="3"/>
        <v>9</v>
      </c>
      <c r="Q12" s="33">
        <f t="shared" si="10"/>
        <v>498</v>
      </c>
      <c r="R12" s="33">
        <f t="shared" si="4"/>
        <v>10470</v>
      </c>
      <c r="S12" s="33">
        <f t="shared" si="11"/>
        <v>56</v>
      </c>
      <c r="T12" s="33">
        <f t="shared" si="12"/>
        <v>10526</v>
      </c>
      <c r="U12" s="33">
        <v>97932</v>
      </c>
      <c r="V12" s="33">
        <v>97932</v>
      </c>
      <c r="W12" s="33">
        <v>100844</v>
      </c>
      <c r="X12" s="33">
        <f t="shared" si="5"/>
        <v>2912</v>
      </c>
      <c r="Y12" s="33">
        <f t="shared" si="6"/>
        <v>2912</v>
      </c>
      <c r="Z12" s="182">
        <f t="shared" si="7"/>
        <v>98.44809805243743</v>
      </c>
      <c r="AA12" s="33">
        <f>O12+P12+'Feb 13(7)'!V12</f>
        <v>426</v>
      </c>
      <c r="AB12" s="33">
        <f>T12+'Feb 13(7)'!Z12</f>
        <v>9372</v>
      </c>
      <c r="AC12" s="33">
        <f>N12+'Feb 13(7)'!R12</f>
        <v>103622</v>
      </c>
      <c r="AE12" s="181">
        <f>AA12/(F12+G12+'Feb 13(7)'!H12+'Feb 13(7)'!I12)*100</f>
        <v>1.096920383149655</v>
      </c>
      <c r="AF12" s="181">
        <f>AB12/(F12+G12+'Feb 13(7)'!H12+'Feb 13(7)'!I12)*100</f>
        <v>24.132248429292407</v>
      </c>
    </row>
    <row r="13" spans="1:32" ht="21" customHeight="1">
      <c r="A13" s="61">
        <v>6</v>
      </c>
      <c r="B13" s="46" t="s">
        <v>32</v>
      </c>
      <c r="C13" s="34">
        <v>585093</v>
      </c>
      <c r="D13" s="34">
        <v>371</v>
      </c>
      <c r="E13" s="34">
        <f t="shared" si="8"/>
        <v>585464</v>
      </c>
      <c r="F13" s="34">
        <v>226270</v>
      </c>
      <c r="G13" s="34">
        <v>11614</v>
      </c>
      <c r="H13" s="34">
        <f>SUM(F13:G13)</f>
        <v>237884</v>
      </c>
      <c r="I13" s="34">
        <v>653876</v>
      </c>
      <c r="J13" s="448">
        <v>940</v>
      </c>
      <c r="K13" s="34">
        <f t="shared" si="9"/>
        <v>654816</v>
      </c>
      <c r="L13" s="34">
        <v>657175</v>
      </c>
      <c r="M13" s="448">
        <v>1135</v>
      </c>
      <c r="N13" s="34">
        <f t="shared" si="1"/>
        <v>658310</v>
      </c>
      <c r="O13" s="34">
        <f t="shared" si="2"/>
        <v>3299</v>
      </c>
      <c r="P13" s="34">
        <f t="shared" si="3"/>
        <v>195</v>
      </c>
      <c r="Q13" s="34">
        <f t="shared" si="10"/>
        <v>3494</v>
      </c>
      <c r="R13" s="34">
        <f t="shared" si="4"/>
        <v>72082</v>
      </c>
      <c r="S13" s="34">
        <f t="shared" si="11"/>
        <v>764</v>
      </c>
      <c r="T13" s="34">
        <f t="shared" si="12"/>
        <v>72846</v>
      </c>
      <c r="U13" s="34">
        <v>539596</v>
      </c>
      <c r="V13" s="34">
        <v>539596</v>
      </c>
      <c r="W13" s="34">
        <v>609852</v>
      </c>
      <c r="X13" s="34">
        <f t="shared" si="5"/>
        <v>70256</v>
      </c>
      <c r="Y13" s="34">
        <f t="shared" si="6"/>
        <v>70256</v>
      </c>
      <c r="Z13" s="183">
        <f t="shared" si="7"/>
        <v>107.75975154627679</v>
      </c>
      <c r="AA13" s="34">
        <f>O13+P13+'Feb 13(7)'!V13</f>
        <v>3350</v>
      </c>
      <c r="AB13" s="34">
        <f>T13+'Feb 13(7)'!Z13</f>
        <v>70933</v>
      </c>
      <c r="AC13" s="34">
        <f>N13+'Feb 13(7)'!R13</f>
        <v>661910</v>
      </c>
      <c r="AE13" s="181">
        <f>AA13/(F13+G13+'Feb 13(7)'!H13+'Feb 13(7)'!I13)*100</f>
        <v>1.3847896359863423</v>
      </c>
      <c r="AF13" s="181">
        <f>AB13/(F13+G13+'Feb 13(7)'!H13+'Feb 13(7)'!I13)*100</f>
        <v>29.32157708937887</v>
      </c>
    </row>
    <row r="14" spans="1:33" ht="21" customHeight="1">
      <c r="A14" s="59">
        <v>7</v>
      </c>
      <c r="B14" s="44" t="s">
        <v>66</v>
      </c>
      <c r="C14" s="35">
        <v>271650</v>
      </c>
      <c r="D14" s="35">
        <v>162</v>
      </c>
      <c r="E14" s="35">
        <f t="shared" si="8"/>
        <v>271812</v>
      </c>
      <c r="F14" s="35">
        <v>100000</v>
      </c>
      <c r="G14" s="35">
        <v>18386</v>
      </c>
      <c r="H14" s="35">
        <f t="shared" si="0"/>
        <v>118386</v>
      </c>
      <c r="I14" s="35">
        <v>298857</v>
      </c>
      <c r="J14" s="448">
        <v>549</v>
      </c>
      <c r="K14" s="35">
        <f t="shared" si="9"/>
        <v>299406</v>
      </c>
      <c r="L14" s="35">
        <v>299870</v>
      </c>
      <c r="M14" s="448">
        <v>582</v>
      </c>
      <c r="N14" s="35">
        <f t="shared" si="1"/>
        <v>300452</v>
      </c>
      <c r="O14" s="35">
        <f t="shared" si="2"/>
        <v>1013</v>
      </c>
      <c r="P14" s="35">
        <f t="shared" si="3"/>
        <v>33</v>
      </c>
      <c r="Q14" s="35">
        <f t="shared" si="10"/>
        <v>1046</v>
      </c>
      <c r="R14" s="35">
        <f t="shared" si="4"/>
        <v>28220</v>
      </c>
      <c r="S14" s="35">
        <f t="shared" si="11"/>
        <v>420</v>
      </c>
      <c r="T14" s="35">
        <f t="shared" si="12"/>
        <v>28640</v>
      </c>
      <c r="U14" s="35">
        <v>207952</v>
      </c>
      <c r="V14" s="35">
        <v>207952</v>
      </c>
      <c r="W14" s="35">
        <v>207952</v>
      </c>
      <c r="X14" s="35">
        <f t="shared" si="5"/>
        <v>0</v>
      </c>
      <c r="Y14" s="35">
        <f t="shared" si="6"/>
        <v>0</v>
      </c>
      <c r="Z14" s="181">
        <f t="shared" si="7"/>
        <v>144.20154651073324</v>
      </c>
      <c r="AA14" s="35">
        <f>O14+P14+'Feb 13(7)'!V14</f>
        <v>1095</v>
      </c>
      <c r="AB14" s="35">
        <f>T14+'Feb 13(7)'!Z14</f>
        <v>28903</v>
      </c>
      <c r="AC14" s="35">
        <f>N14+'Feb 13(7)'!R14</f>
        <v>303074</v>
      </c>
      <c r="AD14" s="378"/>
      <c r="AE14" s="181">
        <f>AA14/(F14+G14+'Feb 13(7)'!H14+'Feb 13(7)'!I14)*100</f>
        <v>0.8940527123681374</v>
      </c>
      <c r="AF14" s="181">
        <f>AB14/(F14+G14+'Feb 13(7)'!H14+'Feb 13(7)'!I14)*100</f>
        <v>23.598909174042262</v>
      </c>
      <c r="AG14" s="136"/>
    </row>
    <row r="15" spans="1:32" ht="21" customHeight="1">
      <c r="A15" s="60">
        <v>8</v>
      </c>
      <c r="B15" s="45" t="s">
        <v>67</v>
      </c>
      <c r="C15" s="33">
        <v>79011</v>
      </c>
      <c r="D15" s="33">
        <v>2</v>
      </c>
      <c r="E15" s="33">
        <f t="shared" si="8"/>
        <v>79013</v>
      </c>
      <c r="F15" s="33">
        <v>35300</v>
      </c>
      <c r="G15" s="33">
        <v>260</v>
      </c>
      <c r="H15" s="33">
        <f t="shared" si="0"/>
        <v>35560</v>
      </c>
      <c r="I15" s="33">
        <v>88036</v>
      </c>
      <c r="J15" s="448">
        <v>4</v>
      </c>
      <c r="K15" s="33">
        <f t="shared" si="9"/>
        <v>88040</v>
      </c>
      <c r="L15" s="33">
        <v>88099</v>
      </c>
      <c r="M15" s="448">
        <v>4</v>
      </c>
      <c r="N15" s="33">
        <f t="shared" si="1"/>
        <v>88103</v>
      </c>
      <c r="O15" s="33">
        <f t="shared" si="2"/>
        <v>63</v>
      </c>
      <c r="P15" s="33">
        <f t="shared" si="3"/>
        <v>0</v>
      </c>
      <c r="Q15" s="33">
        <f t="shared" si="10"/>
        <v>63</v>
      </c>
      <c r="R15" s="33">
        <f t="shared" si="4"/>
        <v>9088</v>
      </c>
      <c r="S15" s="33">
        <f t="shared" si="11"/>
        <v>2</v>
      </c>
      <c r="T15" s="33">
        <f t="shared" si="12"/>
        <v>9090</v>
      </c>
      <c r="U15" s="33">
        <v>86980</v>
      </c>
      <c r="V15" s="33">
        <v>86980</v>
      </c>
      <c r="W15" s="33">
        <v>92884</v>
      </c>
      <c r="X15" s="33">
        <f t="shared" si="5"/>
        <v>5904</v>
      </c>
      <c r="Y15" s="33">
        <f t="shared" si="6"/>
        <v>5904</v>
      </c>
      <c r="Z15" s="182">
        <f t="shared" si="7"/>
        <v>94.84841307437235</v>
      </c>
      <c r="AA15" s="33">
        <f>O15+P15+'Feb 13(7)'!V15</f>
        <v>287</v>
      </c>
      <c r="AB15" s="33">
        <f>T15+'Feb 13(7)'!Z15</f>
        <v>10549</v>
      </c>
      <c r="AC15" s="33">
        <f>N15+'Feb 13(7)'!R15</f>
        <v>91465</v>
      </c>
      <c r="AE15" s="181">
        <f>AA15/(F15+G15+'Feb 13(7)'!H15+'Feb 13(7)'!I15)*100</f>
        <v>0.7354260089686099</v>
      </c>
      <c r="AF15" s="181">
        <f>AB15/(F15+G15+'Feb 13(7)'!H15+'Feb 13(7)'!I15)*100</f>
        <v>27.031390134529147</v>
      </c>
    </row>
    <row r="16" spans="1:32" ht="21" customHeight="1">
      <c r="A16" s="61">
        <v>9</v>
      </c>
      <c r="B16" s="46" t="s">
        <v>33</v>
      </c>
      <c r="C16" s="34">
        <v>64042</v>
      </c>
      <c r="D16" s="34">
        <v>8</v>
      </c>
      <c r="E16" s="34">
        <f t="shared" si="8"/>
        <v>64050</v>
      </c>
      <c r="F16" s="34">
        <v>21500</v>
      </c>
      <c r="G16" s="34">
        <v>254</v>
      </c>
      <c r="H16" s="34">
        <f t="shared" si="0"/>
        <v>21754</v>
      </c>
      <c r="I16" s="34">
        <v>74382</v>
      </c>
      <c r="J16" s="448">
        <v>19</v>
      </c>
      <c r="K16" s="34">
        <f t="shared" si="9"/>
        <v>74401</v>
      </c>
      <c r="L16" s="34">
        <v>75014</v>
      </c>
      <c r="M16" s="448">
        <v>19</v>
      </c>
      <c r="N16" s="34">
        <f t="shared" si="1"/>
        <v>75033</v>
      </c>
      <c r="O16" s="34">
        <f t="shared" si="2"/>
        <v>632</v>
      </c>
      <c r="P16" s="34">
        <f t="shared" si="3"/>
        <v>0</v>
      </c>
      <c r="Q16" s="34">
        <f>O16+P16</f>
        <v>632</v>
      </c>
      <c r="R16" s="34">
        <f t="shared" si="4"/>
        <v>10972</v>
      </c>
      <c r="S16" s="34">
        <f t="shared" si="11"/>
        <v>11</v>
      </c>
      <c r="T16" s="34">
        <f t="shared" si="12"/>
        <v>10983</v>
      </c>
      <c r="U16" s="34">
        <v>68660</v>
      </c>
      <c r="V16" s="34">
        <v>68660</v>
      </c>
      <c r="W16" s="34">
        <v>88228</v>
      </c>
      <c r="X16" s="34">
        <f t="shared" si="5"/>
        <v>19568</v>
      </c>
      <c r="Y16" s="34">
        <f t="shared" si="6"/>
        <v>19568</v>
      </c>
      <c r="Z16" s="183">
        <f t="shared" si="7"/>
        <v>85.02289522600535</v>
      </c>
      <c r="AA16" s="34">
        <f>O16+P16+'Feb 13(7)'!V16</f>
        <v>918</v>
      </c>
      <c r="AB16" s="34">
        <f>T16+'Feb 13(7)'!Z16</f>
        <v>11685</v>
      </c>
      <c r="AC16" s="34">
        <f>N16+'Feb 13(7)'!R16</f>
        <v>80077</v>
      </c>
      <c r="AE16" s="181">
        <f>AA16/(F16+G16+'Feb 13(7)'!H16+'Feb 13(7)'!I16)*100</f>
        <v>3.63003677488236</v>
      </c>
      <c r="AF16" s="181">
        <f>AB16/(F16+G16+'Feb 13(7)'!H16+'Feb 13(7)'!I16)*100</f>
        <v>46.205860255447035</v>
      </c>
    </row>
    <row r="17" spans="1:32" ht="21" customHeight="1">
      <c r="A17" s="59">
        <v>10</v>
      </c>
      <c r="B17" s="44" t="s">
        <v>6</v>
      </c>
      <c r="C17" s="35">
        <v>91102</v>
      </c>
      <c r="D17" s="33">
        <v>3</v>
      </c>
      <c r="E17" s="35">
        <f t="shared" si="8"/>
        <v>91105</v>
      </c>
      <c r="F17" s="35">
        <v>27000</v>
      </c>
      <c r="G17" s="35">
        <v>6170</v>
      </c>
      <c r="H17" s="35">
        <f t="shared" si="0"/>
        <v>33170</v>
      </c>
      <c r="I17" s="34">
        <v>101861</v>
      </c>
      <c r="J17" s="448">
        <v>24</v>
      </c>
      <c r="K17" s="35">
        <f t="shared" si="9"/>
        <v>101885</v>
      </c>
      <c r="L17" s="34">
        <v>102326</v>
      </c>
      <c r="M17" s="448">
        <v>31</v>
      </c>
      <c r="N17" s="35">
        <f t="shared" si="1"/>
        <v>102357</v>
      </c>
      <c r="O17" s="35">
        <f t="shared" si="2"/>
        <v>465</v>
      </c>
      <c r="P17" s="35">
        <f t="shared" si="3"/>
        <v>7</v>
      </c>
      <c r="Q17" s="35">
        <f t="shared" si="10"/>
        <v>472</v>
      </c>
      <c r="R17" s="35">
        <f t="shared" si="4"/>
        <v>11224</v>
      </c>
      <c r="S17" s="35">
        <f t="shared" si="11"/>
        <v>28</v>
      </c>
      <c r="T17" s="35">
        <f t="shared" si="12"/>
        <v>11252</v>
      </c>
      <c r="U17" s="35">
        <v>132668</v>
      </c>
      <c r="V17" s="35">
        <v>132668</v>
      </c>
      <c r="W17" s="35">
        <v>133628</v>
      </c>
      <c r="X17" s="35">
        <f t="shared" si="5"/>
        <v>960</v>
      </c>
      <c r="Y17" s="35">
        <f t="shared" si="6"/>
        <v>960</v>
      </c>
      <c r="Z17" s="181">
        <f t="shared" si="7"/>
        <v>76.57526865626964</v>
      </c>
      <c r="AA17" s="35">
        <f>O17+P17+'Feb 13(7)'!V17</f>
        <v>431</v>
      </c>
      <c r="AB17" s="35">
        <f>T17+'Feb 13(7)'!Z17</f>
        <v>12298</v>
      </c>
      <c r="AC17" s="35">
        <f>N17+'Feb 13(7)'!R17</f>
        <v>106354</v>
      </c>
      <c r="AE17" s="181">
        <f>AA17/(F17+G17+'Feb 13(7)'!H17+'Feb 13(7)'!I17)*100</f>
        <v>0.9763280099671537</v>
      </c>
      <c r="AF17" s="181">
        <f>AB17/(F17+G17+'Feb 13(7)'!H17+'Feb 13(7)'!I17)*100</f>
        <v>27.858194586023334</v>
      </c>
    </row>
    <row r="18" spans="1:32" ht="21" customHeight="1">
      <c r="A18" s="60">
        <v>11</v>
      </c>
      <c r="B18" s="45" t="s">
        <v>34</v>
      </c>
      <c r="C18" s="344">
        <v>1009454</v>
      </c>
      <c r="D18" s="33">
        <v>580</v>
      </c>
      <c r="E18" s="33">
        <f t="shared" si="8"/>
        <v>1010034</v>
      </c>
      <c r="F18" s="33">
        <v>269000</v>
      </c>
      <c r="G18" s="33">
        <v>27864</v>
      </c>
      <c r="H18" s="33">
        <f t="shared" si="0"/>
        <v>296864</v>
      </c>
      <c r="I18" s="35">
        <v>1093233</v>
      </c>
      <c r="J18" s="448">
        <v>1299</v>
      </c>
      <c r="K18" s="33">
        <f t="shared" si="9"/>
        <v>1094532</v>
      </c>
      <c r="L18" s="35">
        <v>1034903</v>
      </c>
      <c r="M18" s="448">
        <v>1338</v>
      </c>
      <c r="N18" s="33">
        <f t="shared" si="1"/>
        <v>1036241</v>
      </c>
      <c r="O18" s="33">
        <f t="shared" si="2"/>
        <v>-58330</v>
      </c>
      <c r="P18" s="33">
        <f t="shared" si="3"/>
        <v>39</v>
      </c>
      <c r="Q18" s="33">
        <f t="shared" si="10"/>
        <v>-58291</v>
      </c>
      <c r="R18" s="33">
        <f t="shared" si="4"/>
        <v>25449</v>
      </c>
      <c r="S18" s="33">
        <f t="shared" si="11"/>
        <v>758</v>
      </c>
      <c r="T18" s="33">
        <f t="shared" si="12"/>
        <v>26207</v>
      </c>
      <c r="U18" s="33">
        <v>887516</v>
      </c>
      <c r="V18" s="33">
        <v>887516</v>
      </c>
      <c r="W18" s="33">
        <v>888092</v>
      </c>
      <c r="X18" s="33">
        <f t="shared" si="5"/>
        <v>576</v>
      </c>
      <c r="Y18" s="33">
        <f t="shared" si="6"/>
        <v>576</v>
      </c>
      <c r="Z18" s="182">
        <f t="shared" si="7"/>
        <v>116.53105759313225</v>
      </c>
      <c r="AA18" s="33">
        <f>O18+P18+'Feb 13(7)'!V18</f>
        <v>-58420</v>
      </c>
      <c r="AB18" s="33">
        <f>T18+'Feb 13(7)'!Z18</f>
        <v>26241</v>
      </c>
      <c r="AC18" s="33">
        <f>N18+'Feb 13(7)'!R18</f>
        <v>1044484</v>
      </c>
      <c r="AE18" s="181">
        <f>AA18/(F18+G18+'Feb 13(7)'!H18+'Feb 13(7)'!I18)*100</f>
        <v>-19.414184783692352</v>
      </c>
      <c r="AF18" s="181">
        <f>AB18/(F18+G18+'Feb 13(7)'!H18+'Feb 13(7)'!I18)*100</f>
        <v>8.720431751264481</v>
      </c>
    </row>
    <row r="19" spans="1:32" ht="21" customHeight="1">
      <c r="A19" s="61">
        <v>12</v>
      </c>
      <c r="B19" s="46" t="s">
        <v>35</v>
      </c>
      <c r="C19" s="34">
        <v>833757</v>
      </c>
      <c r="D19" s="34">
        <v>322</v>
      </c>
      <c r="E19" s="34">
        <f t="shared" si="8"/>
        <v>834079</v>
      </c>
      <c r="F19" s="34">
        <v>320000</v>
      </c>
      <c r="G19" s="34">
        <v>11640</v>
      </c>
      <c r="H19" s="34">
        <f t="shared" si="0"/>
        <v>331640</v>
      </c>
      <c r="I19" s="344">
        <v>976161</v>
      </c>
      <c r="J19" s="448">
        <v>827</v>
      </c>
      <c r="K19" s="34">
        <f t="shared" si="9"/>
        <v>976988</v>
      </c>
      <c r="L19" s="344">
        <v>981734</v>
      </c>
      <c r="M19" s="448">
        <v>884</v>
      </c>
      <c r="N19" s="34">
        <f t="shared" si="1"/>
        <v>982618</v>
      </c>
      <c r="O19" s="34">
        <f t="shared" si="2"/>
        <v>5573</v>
      </c>
      <c r="P19" s="34">
        <f t="shared" si="3"/>
        <v>57</v>
      </c>
      <c r="Q19" s="34">
        <f t="shared" si="10"/>
        <v>5630</v>
      </c>
      <c r="R19" s="34">
        <f t="shared" si="4"/>
        <v>147977</v>
      </c>
      <c r="S19" s="34">
        <f t="shared" si="11"/>
        <v>562</v>
      </c>
      <c r="T19" s="34">
        <f t="shared" si="12"/>
        <v>148539</v>
      </c>
      <c r="U19" s="34">
        <v>770088</v>
      </c>
      <c r="V19" s="34">
        <v>770088</v>
      </c>
      <c r="W19" s="34">
        <v>770088</v>
      </c>
      <c r="X19" s="34">
        <f t="shared" si="5"/>
        <v>0</v>
      </c>
      <c r="Y19" s="34">
        <f t="shared" si="6"/>
        <v>0</v>
      </c>
      <c r="Z19" s="183">
        <f t="shared" si="7"/>
        <v>127.48335255191614</v>
      </c>
      <c r="AA19" s="34">
        <f>O19+P19+'Feb 13(7)'!V19</f>
        <v>6640</v>
      </c>
      <c r="AB19" s="34">
        <f>T19+'Feb 13(7)'!Z19</f>
        <v>155159</v>
      </c>
      <c r="AC19" s="34">
        <f>N19+'Feb 13(7)'!R19</f>
        <v>1004232</v>
      </c>
      <c r="AE19" s="181">
        <f>AA19/(F19+G19+'Feb 13(7)'!H19+'Feb 13(7)'!I19)*100</f>
        <v>1.7703126041458375</v>
      </c>
      <c r="AF19" s="181">
        <f>AB19/(F19+G19+'Feb 13(7)'!H19+'Feb 13(7)'!I19)*100</f>
        <v>41.36745984136506</v>
      </c>
    </row>
    <row r="20" spans="1:32" ht="21" customHeight="1">
      <c r="A20" s="59">
        <v>13</v>
      </c>
      <c r="B20" s="44" t="s">
        <v>68</v>
      </c>
      <c r="C20" s="35">
        <v>296502</v>
      </c>
      <c r="D20" s="35">
        <v>55</v>
      </c>
      <c r="E20" s="35">
        <f t="shared" si="8"/>
        <v>296557</v>
      </c>
      <c r="F20" s="33">
        <v>117000</v>
      </c>
      <c r="G20" s="35">
        <v>8892</v>
      </c>
      <c r="H20" s="35">
        <f t="shared" si="0"/>
        <v>125892</v>
      </c>
      <c r="I20" s="35">
        <v>339239</v>
      </c>
      <c r="J20" s="448">
        <v>121</v>
      </c>
      <c r="K20" s="35">
        <f t="shared" si="9"/>
        <v>339360</v>
      </c>
      <c r="L20" s="35">
        <v>345669</v>
      </c>
      <c r="M20" s="448">
        <v>135</v>
      </c>
      <c r="N20" s="35">
        <f t="shared" si="1"/>
        <v>345804</v>
      </c>
      <c r="O20" s="35">
        <f t="shared" si="2"/>
        <v>6430</v>
      </c>
      <c r="P20" s="35">
        <f t="shared" si="3"/>
        <v>14</v>
      </c>
      <c r="Q20" s="35">
        <f t="shared" si="10"/>
        <v>6444</v>
      </c>
      <c r="R20" s="35">
        <f t="shared" si="4"/>
        <v>49167</v>
      </c>
      <c r="S20" s="35">
        <f t="shared" si="11"/>
        <v>80</v>
      </c>
      <c r="T20" s="35">
        <f t="shared" si="12"/>
        <v>49247</v>
      </c>
      <c r="U20" s="35">
        <v>284800</v>
      </c>
      <c r="V20" s="35">
        <v>284800</v>
      </c>
      <c r="W20" s="35">
        <v>295936</v>
      </c>
      <c r="X20" s="35">
        <f t="shared" si="5"/>
        <v>11136</v>
      </c>
      <c r="Y20" s="35">
        <f t="shared" si="6"/>
        <v>11136</v>
      </c>
      <c r="Z20" s="181">
        <f t="shared" si="7"/>
        <v>116.80532277249137</v>
      </c>
      <c r="AA20" s="35">
        <f>O20+P20+'Feb 13(7)'!V20</f>
        <v>6595</v>
      </c>
      <c r="AB20" s="35">
        <f>T20+'Feb 13(7)'!Z20</f>
        <v>48005</v>
      </c>
      <c r="AC20" s="35">
        <f>N20+'Feb 13(7)'!R20</f>
        <v>353703</v>
      </c>
      <c r="AE20" s="181">
        <f>AA20/(F20+G20+'Feb 13(7)'!H20+'Feb 13(7)'!I20)*100</f>
        <v>4.499648624860985</v>
      </c>
      <c r="AF20" s="181">
        <f>AB20/(F20+G20+'Feb 13(7)'!H20+'Feb 13(7)'!I20)*100</f>
        <v>32.752938928953995</v>
      </c>
    </row>
    <row r="21" spans="1:32" ht="21" customHeight="1">
      <c r="A21" s="60">
        <v>14</v>
      </c>
      <c r="B21" s="45" t="s">
        <v>36</v>
      </c>
      <c r="C21" s="33">
        <v>855066</v>
      </c>
      <c r="D21" s="33">
        <v>64</v>
      </c>
      <c r="E21" s="33">
        <f t="shared" si="8"/>
        <v>855130</v>
      </c>
      <c r="F21" s="33">
        <v>287000</v>
      </c>
      <c r="G21" s="33">
        <v>18227</v>
      </c>
      <c r="H21" s="33">
        <f>SUM(F21:G21)</f>
        <v>305227</v>
      </c>
      <c r="I21" s="33">
        <v>952468</v>
      </c>
      <c r="J21" s="448">
        <v>215</v>
      </c>
      <c r="K21" s="33">
        <f t="shared" si="9"/>
        <v>952683</v>
      </c>
      <c r="L21" s="33">
        <v>951545</v>
      </c>
      <c r="M21" s="448">
        <v>242</v>
      </c>
      <c r="N21" s="33">
        <f t="shared" si="1"/>
        <v>951787</v>
      </c>
      <c r="O21" s="33">
        <f t="shared" si="2"/>
        <v>-923</v>
      </c>
      <c r="P21" s="33">
        <f t="shared" si="3"/>
        <v>27</v>
      </c>
      <c r="Q21" s="33">
        <f t="shared" si="10"/>
        <v>-896</v>
      </c>
      <c r="R21" s="33">
        <f t="shared" si="4"/>
        <v>96479</v>
      </c>
      <c r="S21" s="33">
        <f t="shared" si="11"/>
        <v>178</v>
      </c>
      <c r="T21" s="33">
        <f t="shared" si="12"/>
        <v>96657</v>
      </c>
      <c r="U21" s="33">
        <v>737856</v>
      </c>
      <c r="V21" s="33">
        <v>737856</v>
      </c>
      <c r="W21" s="33">
        <v>745792</v>
      </c>
      <c r="X21" s="33">
        <f t="shared" si="5"/>
        <v>7936</v>
      </c>
      <c r="Y21" s="33">
        <f t="shared" si="6"/>
        <v>7936</v>
      </c>
      <c r="Z21" s="182">
        <f t="shared" si="7"/>
        <v>127.58852334162876</v>
      </c>
      <c r="AA21" s="33">
        <f>O21+P21+'Feb 13(7)'!V21</f>
        <v>-696</v>
      </c>
      <c r="AB21" s="33">
        <f>T21+'Feb 13(7)'!Z21</f>
        <v>96391</v>
      </c>
      <c r="AC21" s="33">
        <f>N21+'Feb 13(7)'!R21</f>
        <v>956489</v>
      </c>
      <c r="AE21" s="181">
        <f>AA21/(F21+G21+'Feb 13(7)'!H21+'Feb 13(7)'!I21)*100</f>
        <v>-0.2179208596602188</v>
      </c>
      <c r="AF21" s="181">
        <f>AB21/(F21+G21+'Feb 13(7)'!H21+'Feb 13(7)'!I21)*100</f>
        <v>30.180473539523206</v>
      </c>
    </row>
    <row r="22" spans="1:32" ht="21" customHeight="1">
      <c r="A22" s="61">
        <v>15</v>
      </c>
      <c r="B22" s="46" t="s">
        <v>13</v>
      </c>
      <c r="C22" s="34">
        <v>33807</v>
      </c>
      <c r="D22" s="34">
        <v>0</v>
      </c>
      <c r="E22" s="34">
        <f t="shared" si="8"/>
        <v>33807</v>
      </c>
      <c r="F22" s="34">
        <v>13500</v>
      </c>
      <c r="G22" s="34">
        <v>262</v>
      </c>
      <c r="H22" s="34">
        <f t="shared" si="0"/>
        <v>13762</v>
      </c>
      <c r="I22" s="34">
        <v>37440</v>
      </c>
      <c r="J22" s="448">
        <v>18</v>
      </c>
      <c r="K22" s="34">
        <f t="shared" si="9"/>
        <v>37458</v>
      </c>
      <c r="L22" s="34">
        <v>37582</v>
      </c>
      <c r="M22" s="448">
        <v>18</v>
      </c>
      <c r="N22" s="34">
        <f t="shared" si="1"/>
        <v>37600</v>
      </c>
      <c r="O22" s="34">
        <f t="shared" si="2"/>
        <v>142</v>
      </c>
      <c r="P22" s="34">
        <f t="shared" si="3"/>
        <v>0</v>
      </c>
      <c r="Q22" s="34">
        <f t="shared" si="10"/>
        <v>142</v>
      </c>
      <c r="R22" s="34">
        <f t="shared" si="4"/>
        <v>3775</v>
      </c>
      <c r="S22" s="34">
        <f t="shared" si="11"/>
        <v>18</v>
      </c>
      <c r="T22" s="34">
        <f t="shared" si="12"/>
        <v>3793</v>
      </c>
      <c r="U22" s="34">
        <v>33634</v>
      </c>
      <c r="V22" s="34">
        <v>33634</v>
      </c>
      <c r="W22" s="34">
        <v>33890</v>
      </c>
      <c r="X22" s="34">
        <f t="shared" si="5"/>
        <v>256</v>
      </c>
      <c r="Y22" s="34">
        <f t="shared" si="6"/>
        <v>256</v>
      </c>
      <c r="Z22" s="183">
        <f t="shared" si="7"/>
        <v>110.8940690469165</v>
      </c>
      <c r="AA22" s="34">
        <f>O22+P22+'Feb 13(7)'!V22</f>
        <v>352</v>
      </c>
      <c r="AB22" s="34">
        <f>T22+'Feb 13(7)'!Z22</f>
        <v>5925</v>
      </c>
      <c r="AC22" s="34">
        <f>N22+'Feb 13(7)'!R22</f>
        <v>42695</v>
      </c>
      <c r="AE22" s="181">
        <f>AA22/(F22+G22+'Feb 13(7)'!H23+'Feb 13(7)'!I22)*100</f>
        <v>1.8067960168360537</v>
      </c>
      <c r="AF22" s="181">
        <f>AB22/(F22+G22+'Feb 13(7)'!H22+'Feb 13(7)'!I22)*100</f>
        <v>34.705951265229615</v>
      </c>
    </row>
    <row r="23" spans="1:32" ht="21" customHeight="1">
      <c r="A23" s="60">
        <v>16</v>
      </c>
      <c r="B23" s="45" t="s">
        <v>12</v>
      </c>
      <c r="C23" s="33">
        <v>17931</v>
      </c>
      <c r="D23" s="33">
        <v>0</v>
      </c>
      <c r="E23" s="35">
        <f t="shared" si="8"/>
        <v>17931</v>
      </c>
      <c r="F23" s="33">
        <v>12030</v>
      </c>
      <c r="G23" s="33">
        <v>262</v>
      </c>
      <c r="H23" s="35">
        <f t="shared" si="0"/>
        <v>12292</v>
      </c>
      <c r="I23" s="33">
        <v>20142</v>
      </c>
      <c r="J23" s="232"/>
      <c r="K23" s="35">
        <f t="shared" si="9"/>
        <v>20142</v>
      </c>
      <c r="L23" s="33">
        <v>20387</v>
      </c>
      <c r="M23" s="232"/>
      <c r="N23" s="33">
        <f t="shared" si="1"/>
        <v>20387</v>
      </c>
      <c r="O23" s="35">
        <f t="shared" si="2"/>
        <v>245</v>
      </c>
      <c r="P23" s="35">
        <f>M23-J23</f>
        <v>0</v>
      </c>
      <c r="Q23" s="35">
        <f t="shared" si="10"/>
        <v>245</v>
      </c>
      <c r="R23" s="35">
        <f t="shared" si="4"/>
        <v>2456</v>
      </c>
      <c r="S23" s="35">
        <f t="shared" si="11"/>
        <v>0</v>
      </c>
      <c r="T23" s="35">
        <f t="shared" si="12"/>
        <v>2456</v>
      </c>
      <c r="U23" s="33">
        <v>30032</v>
      </c>
      <c r="V23" s="33">
        <v>30032</v>
      </c>
      <c r="W23" s="33">
        <v>33328</v>
      </c>
      <c r="X23" s="35">
        <f t="shared" si="5"/>
        <v>3296</v>
      </c>
      <c r="Y23" s="35">
        <f t="shared" si="6"/>
        <v>3296</v>
      </c>
      <c r="Z23" s="181">
        <f t="shared" si="7"/>
        <v>61.17078732597216</v>
      </c>
      <c r="AA23" s="35">
        <f>O23+P23+'Feb 13(7)'!V23</f>
        <v>514</v>
      </c>
      <c r="AB23" s="35">
        <f>T23+'Feb 13(7)'!Z23</f>
        <v>3790</v>
      </c>
      <c r="AC23" s="35">
        <f>N23+'Feb 13(7)'!R23</f>
        <v>25264</v>
      </c>
      <c r="AE23" s="181">
        <f>AA23/(F23+G23+'Feb 13(7)'!H22+'Feb 13(7)'!I23)*100</f>
        <v>3.265150552661669</v>
      </c>
      <c r="AF23" s="181">
        <f>AB23/(F23+G23+'Feb 13(7)'!H23+'Feb 13(7)'!I23)*100</f>
        <v>20.879241956809167</v>
      </c>
    </row>
    <row r="24" spans="1:32" ht="21" customHeight="1">
      <c r="A24" s="60">
        <v>17</v>
      </c>
      <c r="B24" s="45" t="s">
        <v>69</v>
      </c>
      <c r="C24" s="33">
        <v>173172</v>
      </c>
      <c r="D24" s="33">
        <v>3</v>
      </c>
      <c r="E24" s="33">
        <f t="shared" si="8"/>
        <v>173175</v>
      </c>
      <c r="F24" s="33">
        <v>64800</v>
      </c>
      <c r="G24" s="33">
        <v>3547</v>
      </c>
      <c r="H24" s="33">
        <f t="shared" si="0"/>
        <v>68347</v>
      </c>
      <c r="I24" s="33">
        <v>193615</v>
      </c>
      <c r="J24" s="448">
        <v>52</v>
      </c>
      <c r="K24" s="33">
        <f t="shared" si="9"/>
        <v>193667</v>
      </c>
      <c r="L24" s="33">
        <v>194615</v>
      </c>
      <c r="M24" s="448">
        <v>59</v>
      </c>
      <c r="N24" s="33">
        <f t="shared" si="1"/>
        <v>194674</v>
      </c>
      <c r="O24" s="33">
        <f t="shared" si="2"/>
        <v>1000</v>
      </c>
      <c r="P24" s="33">
        <f t="shared" si="3"/>
        <v>7</v>
      </c>
      <c r="Q24" s="33">
        <f t="shared" si="10"/>
        <v>1007</v>
      </c>
      <c r="R24" s="33">
        <f t="shared" si="4"/>
        <v>21443</v>
      </c>
      <c r="S24" s="33">
        <f t="shared" si="11"/>
        <v>56</v>
      </c>
      <c r="T24" s="33">
        <f t="shared" si="12"/>
        <v>21499</v>
      </c>
      <c r="U24" s="33">
        <v>139668</v>
      </c>
      <c r="V24" s="33">
        <v>139668</v>
      </c>
      <c r="W24" s="33">
        <v>144852</v>
      </c>
      <c r="X24" s="33">
        <f t="shared" si="5"/>
        <v>5184</v>
      </c>
      <c r="Y24" s="33">
        <f t="shared" si="6"/>
        <v>5184</v>
      </c>
      <c r="Z24" s="182">
        <f t="shared" si="7"/>
        <v>134.35437550051086</v>
      </c>
      <c r="AA24" s="33">
        <f>O24+P24+'Feb 13(7)'!V24</f>
        <v>1192</v>
      </c>
      <c r="AB24" s="33">
        <f>T24+'Feb 13(7)'!Z24</f>
        <v>27175</v>
      </c>
      <c r="AC24" s="33">
        <f>N24+'Feb 13(7)'!R24</f>
        <v>204575</v>
      </c>
      <c r="AE24" s="181">
        <f>AA24/(F24+G24+'Feb 13(7)'!H24+'Feb 13(7)'!I24)*100</f>
        <v>1.4438509151253074</v>
      </c>
      <c r="AF24" s="181">
        <f>AB24/(F24+G24+'Feb 13(7)'!H24+'Feb 13(7)'!I24)*100</f>
        <v>32.91665152561261</v>
      </c>
    </row>
    <row r="25" spans="1:32" ht="21" customHeight="1">
      <c r="A25" s="61">
        <v>18</v>
      </c>
      <c r="B25" s="46" t="s">
        <v>37</v>
      </c>
      <c r="C25" s="34">
        <v>503963</v>
      </c>
      <c r="D25" s="34">
        <v>51</v>
      </c>
      <c r="E25" s="34">
        <f t="shared" si="8"/>
        <v>504014</v>
      </c>
      <c r="F25" s="34">
        <v>173000</v>
      </c>
      <c r="G25" s="34">
        <v>23613</v>
      </c>
      <c r="H25" s="34">
        <f t="shared" si="0"/>
        <v>196613</v>
      </c>
      <c r="I25" s="34">
        <v>573087</v>
      </c>
      <c r="J25" s="448">
        <v>181</v>
      </c>
      <c r="K25" s="34">
        <f t="shared" si="9"/>
        <v>573268</v>
      </c>
      <c r="L25" s="34">
        <v>574385</v>
      </c>
      <c r="M25" s="448">
        <v>215</v>
      </c>
      <c r="N25" s="34">
        <f t="shared" si="1"/>
        <v>574600</v>
      </c>
      <c r="O25" s="34">
        <f t="shared" si="2"/>
        <v>1298</v>
      </c>
      <c r="P25" s="34">
        <f t="shared" si="3"/>
        <v>34</v>
      </c>
      <c r="Q25" s="34">
        <f t="shared" si="10"/>
        <v>1332</v>
      </c>
      <c r="R25" s="34">
        <f t="shared" si="4"/>
        <v>70422</v>
      </c>
      <c r="S25" s="34">
        <f t="shared" si="11"/>
        <v>164</v>
      </c>
      <c r="T25" s="34">
        <f t="shared" si="12"/>
        <v>70586</v>
      </c>
      <c r="U25" s="34">
        <v>352856</v>
      </c>
      <c r="V25" s="34">
        <v>352856</v>
      </c>
      <c r="W25" s="34">
        <v>352856</v>
      </c>
      <c r="X25" s="34">
        <f t="shared" si="5"/>
        <v>0</v>
      </c>
      <c r="Y25" s="34">
        <f t="shared" si="6"/>
        <v>0</v>
      </c>
      <c r="Z25" s="183">
        <f t="shared" si="7"/>
        <v>162.78170131725122</v>
      </c>
      <c r="AA25" s="34">
        <f>O25+P25+'Feb 13(7)'!V25</f>
        <v>2010</v>
      </c>
      <c r="AB25" s="34">
        <f>T25+'Feb 13(7)'!Z25</f>
        <v>73947</v>
      </c>
      <c r="AC25" s="34">
        <f>N25+'Feb 13(7)'!R25</f>
        <v>589436</v>
      </c>
      <c r="AE25" s="181">
        <f>AA25/(F25+G25+'Feb 13(7)'!H25+'Feb 13(7)'!I25)*100</f>
        <v>0.8827482015652313</v>
      </c>
      <c r="AF25" s="181">
        <f>AB25/(F25+G25+'Feb 13(7)'!H25+'Feb 13(7)'!I25)*100</f>
        <v>32.475911075196095</v>
      </c>
    </row>
    <row r="26" spans="1:32" ht="21" customHeight="1">
      <c r="A26" s="59">
        <v>19</v>
      </c>
      <c r="B26" s="44" t="s">
        <v>70</v>
      </c>
      <c r="C26" s="35">
        <v>404687</v>
      </c>
      <c r="D26" s="35">
        <v>758</v>
      </c>
      <c r="E26" s="35">
        <f t="shared" si="8"/>
        <v>405445</v>
      </c>
      <c r="F26" s="35">
        <v>139000</v>
      </c>
      <c r="G26" s="35">
        <v>17784</v>
      </c>
      <c r="H26" s="35">
        <f t="shared" si="0"/>
        <v>156784</v>
      </c>
      <c r="I26" s="35">
        <v>449364</v>
      </c>
      <c r="J26" s="448">
        <v>1271</v>
      </c>
      <c r="K26" s="35">
        <f t="shared" si="9"/>
        <v>450635</v>
      </c>
      <c r="L26" s="35">
        <v>450181</v>
      </c>
      <c r="M26" s="448">
        <v>1333</v>
      </c>
      <c r="N26" s="35">
        <f t="shared" si="1"/>
        <v>451514</v>
      </c>
      <c r="O26" s="35">
        <f t="shared" si="2"/>
        <v>817</v>
      </c>
      <c r="P26" s="35">
        <f t="shared" si="3"/>
        <v>62</v>
      </c>
      <c r="Q26" s="35">
        <f t="shared" si="10"/>
        <v>879</v>
      </c>
      <c r="R26" s="35">
        <f t="shared" si="4"/>
        <v>45494</v>
      </c>
      <c r="S26" s="35">
        <f t="shared" si="11"/>
        <v>575</v>
      </c>
      <c r="T26" s="35">
        <f t="shared" si="12"/>
        <v>46069</v>
      </c>
      <c r="U26" s="35">
        <v>365088</v>
      </c>
      <c r="V26" s="35">
        <v>365088</v>
      </c>
      <c r="W26" s="35">
        <v>377376</v>
      </c>
      <c r="X26" s="35">
        <f t="shared" si="5"/>
        <v>12288</v>
      </c>
      <c r="Y26" s="35">
        <f t="shared" si="6"/>
        <v>12288</v>
      </c>
      <c r="Z26" s="181">
        <f t="shared" si="7"/>
        <v>119.29242983125583</v>
      </c>
      <c r="AA26" s="35">
        <f>O26+P26+'Feb 13(7)'!V26</f>
        <v>780</v>
      </c>
      <c r="AB26" s="35">
        <f>T26+'Feb 13(7)'!Z26</f>
        <v>45817</v>
      </c>
      <c r="AC26" s="35">
        <f>N26+'Feb 13(7)'!R26</f>
        <v>456817</v>
      </c>
      <c r="AE26" s="181">
        <f>AA26/(F26+G26+'Feb 13(7)'!H26+'Feb 13(7)'!I26)*100</f>
        <v>0.44182871773375854</v>
      </c>
      <c r="AF26" s="181">
        <f>AB26/(F26+G26+'Feb 13(7)'!H26+'Feb 13(7)'!I26)*100</f>
        <v>25.952905590266173</v>
      </c>
    </row>
    <row r="27" spans="1:32" ht="21" customHeight="1">
      <c r="A27" s="60">
        <v>20</v>
      </c>
      <c r="B27" s="45" t="s">
        <v>71</v>
      </c>
      <c r="C27" s="33">
        <v>778028</v>
      </c>
      <c r="D27" s="33">
        <v>319</v>
      </c>
      <c r="E27" s="33">
        <f t="shared" si="8"/>
        <v>778347</v>
      </c>
      <c r="F27" s="33">
        <v>310000</v>
      </c>
      <c r="G27" s="33">
        <v>7098</v>
      </c>
      <c r="H27" s="33">
        <f t="shared" si="0"/>
        <v>317098</v>
      </c>
      <c r="I27" s="33">
        <v>876785</v>
      </c>
      <c r="J27" s="448">
        <v>589</v>
      </c>
      <c r="K27" s="33">
        <f t="shared" si="9"/>
        <v>877374</v>
      </c>
      <c r="L27" s="33">
        <v>880798</v>
      </c>
      <c r="M27" s="448">
        <v>593</v>
      </c>
      <c r="N27" s="33">
        <f t="shared" si="1"/>
        <v>881391</v>
      </c>
      <c r="O27" s="33">
        <f t="shared" si="2"/>
        <v>4013</v>
      </c>
      <c r="P27" s="33">
        <f t="shared" si="3"/>
        <v>4</v>
      </c>
      <c r="Q27" s="33">
        <f t="shared" si="10"/>
        <v>4017</v>
      </c>
      <c r="R27" s="33">
        <f t="shared" si="4"/>
        <v>102770</v>
      </c>
      <c r="S27" s="33">
        <f t="shared" si="11"/>
        <v>274</v>
      </c>
      <c r="T27" s="33">
        <f t="shared" si="12"/>
        <v>103044</v>
      </c>
      <c r="U27" s="33">
        <v>521784</v>
      </c>
      <c r="V27" s="33">
        <v>521784</v>
      </c>
      <c r="W27" s="33">
        <v>521784</v>
      </c>
      <c r="X27" s="33">
        <f t="shared" si="5"/>
        <v>0</v>
      </c>
      <c r="Y27" s="33">
        <f t="shared" si="6"/>
        <v>0</v>
      </c>
      <c r="Z27" s="182">
        <f t="shared" si="7"/>
        <v>168.80509942811585</v>
      </c>
      <c r="AA27" s="33">
        <f>O27+P27+'Feb 13(7)'!V27</f>
        <v>4251</v>
      </c>
      <c r="AB27" s="33">
        <f>T27+'Feb 13(7)'!Z27</f>
        <v>108851</v>
      </c>
      <c r="AC27" s="33">
        <f>N27+'Feb 13(7)'!R27</f>
        <v>896472</v>
      </c>
      <c r="AE27" s="181">
        <f>AA27/(F27+G27+'Feb 13(7)'!H27+'Feb 13(7)'!I27)*100</f>
        <v>1.3158627862489087</v>
      </c>
      <c r="AF27" s="181">
        <f>AB27/(F27+G27+'Feb 13(7)'!H27+'Feb 13(7)'!I27)*100</f>
        <v>33.69394969324394</v>
      </c>
    </row>
    <row r="28" spans="1:32" ht="21" customHeight="1">
      <c r="A28" s="61">
        <v>21</v>
      </c>
      <c r="B28" s="46" t="s">
        <v>72</v>
      </c>
      <c r="C28" s="34">
        <v>85052</v>
      </c>
      <c r="D28" s="34">
        <v>8</v>
      </c>
      <c r="E28" s="34">
        <f t="shared" si="8"/>
        <v>85060</v>
      </c>
      <c r="F28" s="34">
        <v>28000</v>
      </c>
      <c r="G28" s="34">
        <v>2094</v>
      </c>
      <c r="H28" s="34">
        <f t="shared" si="0"/>
        <v>30094</v>
      </c>
      <c r="I28" s="34">
        <v>94083</v>
      </c>
      <c r="J28" s="448">
        <v>50</v>
      </c>
      <c r="K28" s="34">
        <f t="shared" si="9"/>
        <v>94133</v>
      </c>
      <c r="L28" s="34">
        <v>94619</v>
      </c>
      <c r="M28" s="448">
        <v>55</v>
      </c>
      <c r="N28" s="34">
        <f t="shared" si="1"/>
        <v>94674</v>
      </c>
      <c r="O28" s="34">
        <f t="shared" si="2"/>
        <v>536</v>
      </c>
      <c r="P28" s="34">
        <f t="shared" si="3"/>
        <v>5</v>
      </c>
      <c r="Q28" s="34">
        <f t="shared" si="10"/>
        <v>541</v>
      </c>
      <c r="R28" s="34">
        <f t="shared" si="4"/>
        <v>9567</v>
      </c>
      <c r="S28" s="34">
        <f t="shared" si="11"/>
        <v>47</v>
      </c>
      <c r="T28" s="34">
        <f t="shared" si="12"/>
        <v>9614</v>
      </c>
      <c r="U28" s="34">
        <v>86716</v>
      </c>
      <c r="V28" s="34">
        <v>86716</v>
      </c>
      <c r="W28" s="34">
        <v>86716</v>
      </c>
      <c r="X28" s="34">
        <f t="shared" si="5"/>
        <v>0</v>
      </c>
      <c r="Y28" s="34">
        <f t="shared" si="6"/>
        <v>0</v>
      </c>
      <c r="Z28" s="183">
        <f t="shared" si="7"/>
        <v>109.11365837907651</v>
      </c>
      <c r="AA28" s="34">
        <f>O28+P28+'Feb 13(7)'!V28</f>
        <v>611</v>
      </c>
      <c r="AB28" s="34">
        <f>T28+'Feb 13(7)'!Z28</f>
        <v>10372</v>
      </c>
      <c r="AC28" s="34">
        <f>N28+'Feb 13(7)'!R28</f>
        <v>98513</v>
      </c>
      <c r="AE28" s="181">
        <f>AA28/(F28+G28+'Feb 13(7)'!H28+'Feb 13(7)'!I28)*100</f>
        <v>1.8555073035925778</v>
      </c>
      <c r="AF28" s="181">
        <f>AB28/(F28+G28+'Feb 13(7)'!H28+'Feb 13(7)'!I28)*100</f>
        <v>31.49807160861247</v>
      </c>
    </row>
    <row r="29" spans="1:32" ht="21" customHeight="1">
      <c r="A29" s="59">
        <v>22</v>
      </c>
      <c r="B29" s="44" t="s">
        <v>7</v>
      </c>
      <c r="C29" s="35">
        <v>321855</v>
      </c>
      <c r="D29" s="35">
        <v>56</v>
      </c>
      <c r="E29" s="35">
        <f t="shared" si="8"/>
        <v>321911</v>
      </c>
      <c r="F29" s="35">
        <v>111000</v>
      </c>
      <c r="G29" s="35">
        <v>21284</v>
      </c>
      <c r="H29" s="35">
        <f t="shared" si="0"/>
        <v>132284</v>
      </c>
      <c r="I29" s="35">
        <v>346561</v>
      </c>
      <c r="J29" s="448">
        <v>146</v>
      </c>
      <c r="K29" s="35">
        <f t="shared" si="9"/>
        <v>346707</v>
      </c>
      <c r="L29" s="35">
        <v>346688</v>
      </c>
      <c r="M29" s="448">
        <v>159</v>
      </c>
      <c r="N29" s="35">
        <f t="shared" si="1"/>
        <v>346847</v>
      </c>
      <c r="O29" s="35">
        <f t="shared" si="2"/>
        <v>127</v>
      </c>
      <c r="P29" s="35">
        <f t="shared" si="3"/>
        <v>13</v>
      </c>
      <c r="Q29" s="35">
        <f t="shared" si="10"/>
        <v>140</v>
      </c>
      <c r="R29" s="35">
        <f t="shared" si="4"/>
        <v>24833</v>
      </c>
      <c r="S29" s="35">
        <f t="shared" si="11"/>
        <v>103</v>
      </c>
      <c r="T29" s="35">
        <f t="shared" si="12"/>
        <v>24936</v>
      </c>
      <c r="U29" s="35">
        <v>483396</v>
      </c>
      <c r="V29" s="35">
        <v>483396</v>
      </c>
      <c r="W29" s="35">
        <v>495012</v>
      </c>
      <c r="X29" s="35">
        <f t="shared" si="5"/>
        <v>11616</v>
      </c>
      <c r="Y29" s="35">
        <f t="shared" si="6"/>
        <v>11616</v>
      </c>
      <c r="Z29" s="181">
        <f t="shared" si="7"/>
        <v>70.03628194872043</v>
      </c>
      <c r="AA29" s="35">
        <f>O29+P29+'Feb 13(7)'!V29</f>
        <v>523</v>
      </c>
      <c r="AB29" s="35">
        <f>T29+'Feb 13(7)'!Z29</f>
        <v>27851</v>
      </c>
      <c r="AC29" s="35">
        <f>N29+'Feb 13(7)'!R29</f>
        <v>355685</v>
      </c>
      <c r="AE29" s="181">
        <f>AA29/(F29+G29+'Feb 13(7)'!H29+'Feb 13(7)'!I29)*100</f>
        <v>0.3445799484777209</v>
      </c>
      <c r="AF29" s="181">
        <f>AB29/(F29+G29+'Feb 13(7)'!H29+'Feb 13(7)'!I29)*100</f>
        <v>18.349705822281077</v>
      </c>
    </row>
    <row r="30" spans="1:32" ht="21" customHeight="1">
      <c r="A30" s="60">
        <v>23</v>
      </c>
      <c r="B30" s="45" t="s">
        <v>8</v>
      </c>
      <c r="C30" s="33">
        <v>217127</v>
      </c>
      <c r="D30" s="33">
        <v>121</v>
      </c>
      <c r="E30" s="33">
        <f t="shared" si="8"/>
        <v>217248</v>
      </c>
      <c r="F30" s="33">
        <v>70000</v>
      </c>
      <c r="G30" s="33">
        <v>20845</v>
      </c>
      <c r="H30" s="33">
        <f t="shared" si="0"/>
        <v>90845</v>
      </c>
      <c r="I30" s="33">
        <v>242879</v>
      </c>
      <c r="J30" s="448">
        <v>407</v>
      </c>
      <c r="K30" s="33">
        <f t="shared" si="9"/>
        <v>243286</v>
      </c>
      <c r="L30" s="33">
        <v>243709</v>
      </c>
      <c r="M30" s="448">
        <v>476</v>
      </c>
      <c r="N30" s="33">
        <f t="shared" si="1"/>
        <v>244185</v>
      </c>
      <c r="O30" s="33">
        <f t="shared" si="2"/>
        <v>830</v>
      </c>
      <c r="P30" s="33">
        <f t="shared" si="3"/>
        <v>69</v>
      </c>
      <c r="Q30" s="33">
        <f t="shared" si="10"/>
        <v>899</v>
      </c>
      <c r="R30" s="33">
        <f t="shared" si="4"/>
        <v>26582</v>
      </c>
      <c r="S30" s="33">
        <f t="shared" si="11"/>
        <v>355</v>
      </c>
      <c r="T30" s="33">
        <f t="shared" si="12"/>
        <v>26937</v>
      </c>
      <c r="U30" s="33">
        <v>243156</v>
      </c>
      <c r="V30" s="33">
        <v>243156</v>
      </c>
      <c r="W30" s="33">
        <v>243156</v>
      </c>
      <c r="X30" s="33">
        <f t="shared" si="5"/>
        <v>0</v>
      </c>
      <c r="Y30" s="33">
        <f t="shared" si="6"/>
        <v>0</v>
      </c>
      <c r="Z30" s="182">
        <f t="shared" si="7"/>
        <v>100.22742601457502</v>
      </c>
      <c r="AA30" s="33">
        <f>O30+P30+'Feb 13(7)'!V30</f>
        <v>980</v>
      </c>
      <c r="AB30" s="33">
        <f>T30+'Feb 13(7)'!Z30</f>
        <v>28940</v>
      </c>
      <c r="AC30" s="33">
        <f>N30+'Feb 13(7)'!R30</f>
        <v>252011</v>
      </c>
      <c r="AE30" s="181">
        <f>AA30/(F30+G30+'Feb 13(7)'!H30+'Feb 13(7)'!I30)*100</f>
        <v>1.0155966630395359</v>
      </c>
      <c r="AF30" s="181">
        <f>AB30/(F30+G30+'Feb 13(7)'!H30+'Feb 13(7)'!I30)*100</f>
        <v>29.99119125343282</v>
      </c>
    </row>
    <row r="31" spans="1:32" ht="21" customHeight="1">
      <c r="A31" s="61">
        <v>24</v>
      </c>
      <c r="B31" s="46" t="s">
        <v>40</v>
      </c>
      <c r="C31" s="34">
        <v>146077</v>
      </c>
      <c r="D31" s="34">
        <v>4</v>
      </c>
      <c r="E31" s="34">
        <f t="shared" si="8"/>
        <v>146081</v>
      </c>
      <c r="F31" s="34">
        <v>70000</v>
      </c>
      <c r="G31" s="34">
        <v>1046</v>
      </c>
      <c r="H31" s="34">
        <f t="shared" si="0"/>
        <v>71046</v>
      </c>
      <c r="I31" s="34">
        <v>163291</v>
      </c>
      <c r="J31" s="395">
        <v>4</v>
      </c>
      <c r="K31" s="34">
        <f t="shared" si="9"/>
        <v>163295</v>
      </c>
      <c r="L31" s="34">
        <v>163932</v>
      </c>
      <c r="M31" s="395">
        <v>5</v>
      </c>
      <c r="N31" s="34">
        <f t="shared" si="1"/>
        <v>163937</v>
      </c>
      <c r="O31" s="34">
        <f t="shared" si="2"/>
        <v>641</v>
      </c>
      <c r="P31" s="34">
        <f t="shared" si="3"/>
        <v>1</v>
      </c>
      <c r="Q31" s="34">
        <f t="shared" si="10"/>
        <v>642</v>
      </c>
      <c r="R31" s="34">
        <f t="shared" si="4"/>
        <v>17855</v>
      </c>
      <c r="S31" s="34">
        <f t="shared" si="11"/>
        <v>1</v>
      </c>
      <c r="T31" s="34">
        <f t="shared" si="12"/>
        <v>17856</v>
      </c>
      <c r="U31" s="34">
        <v>192376</v>
      </c>
      <c r="V31" s="34">
        <v>192376</v>
      </c>
      <c r="W31" s="34">
        <v>197368</v>
      </c>
      <c r="X31" s="34">
        <f t="shared" si="5"/>
        <v>4992</v>
      </c>
      <c r="Y31" s="34">
        <f t="shared" si="6"/>
        <v>4992</v>
      </c>
      <c r="Z31" s="183">
        <f t="shared" si="7"/>
        <v>83.05905719265535</v>
      </c>
      <c r="AA31" s="34">
        <f>O31+P31+'Feb 13(7)'!V31</f>
        <v>745</v>
      </c>
      <c r="AB31" s="34">
        <f>T31+'Feb 13(7)'!Z31</f>
        <v>18505</v>
      </c>
      <c r="AC31" s="34">
        <f>N31+'Feb 13(7)'!R31</f>
        <v>173285</v>
      </c>
      <c r="AE31" s="181">
        <f>AA31/(F31+G31+'Feb 13(7)'!H31+'Feb 13(7)'!I31)*100</f>
        <v>0.9525514313843322</v>
      </c>
      <c r="AF31" s="181">
        <f>AB31/(F31+G31+'Feb 13(7)'!H31+'Feb 13(7)'!I31)*100</f>
        <v>23.66035468156653</v>
      </c>
    </row>
    <row r="32" spans="1:32" ht="21" customHeight="1">
      <c r="A32" s="59">
        <v>25</v>
      </c>
      <c r="B32" s="44" t="s">
        <v>9</v>
      </c>
      <c r="C32" s="35">
        <v>348575</v>
      </c>
      <c r="D32" s="35">
        <v>40</v>
      </c>
      <c r="E32" s="35">
        <f t="shared" si="8"/>
        <v>348615</v>
      </c>
      <c r="F32" s="35">
        <v>100000</v>
      </c>
      <c r="G32" s="35">
        <v>16654</v>
      </c>
      <c r="H32" s="35">
        <f t="shared" si="0"/>
        <v>116654</v>
      </c>
      <c r="I32" s="35">
        <v>367594</v>
      </c>
      <c r="J32" s="448">
        <v>68</v>
      </c>
      <c r="K32" s="35">
        <f t="shared" si="9"/>
        <v>367662</v>
      </c>
      <c r="L32" s="35">
        <v>367323</v>
      </c>
      <c r="M32" s="448">
        <v>70</v>
      </c>
      <c r="N32" s="35">
        <f>L32+M32</f>
        <v>367393</v>
      </c>
      <c r="O32" s="35">
        <f t="shared" si="2"/>
        <v>-271</v>
      </c>
      <c r="P32" s="35">
        <f t="shared" si="3"/>
        <v>2</v>
      </c>
      <c r="Q32" s="35">
        <f t="shared" si="10"/>
        <v>-269</v>
      </c>
      <c r="R32" s="35">
        <f t="shared" si="4"/>
        <v>18748</v>
      </c>
      <c r="S32" s="35">
        <f t="shared" si="11"/>
        <v>30</v>
      </c>
      <c r="T32" s="35">
        <f t="shared" si="12"/>
        <v>18778</v>
      </c>
      <c r="U32" s="35">
        <v>407600</v>
      </c>
      <c r="V32" s="35">
        <v>407600</v>
      </c>
      <c r="W32" s="35">
        <v>420560</v>
      </c>
      <c r="X32" s="35">
        <f t="shared" si="5"/>
        <v>12960</v>
      </c>
      <c r="Y32" s="35">
        <f t="shared" si="6"/>
        <v>12960</v>
      </c>
      <c r="Z32" s="181">
        <f t="shared" si="7"/>
        <v>87.34140194027012</v>
      </c>
      <c r="AA32" s="35">
        <f>O32+P32+'Feb 13(7)'!V32</f>
        <v>-265</v>
      </c>
      <c r="AB32" s="35">
        <f>T32+'Feb 13(7)'!Z32</f>
        <v>18450</v>
      </c>
      <c r="AC32" s="35">
        <f>N32+'Feb 13(7)'!R32</f>
        <v>373644</v>
      </c>
      <c r="AE32" s="181">
        <f>AA32/(F32+G32+'Feb 13(7)'!H32+'Feb 13(7)'!I32)*100</f>
        <v>-0.22356831910370195</v>
      </c>
      <c r="AF32" s="181">
        <f>AB32/(F32+G32+'Feb 13(7)'!H32+'Feb 13(7)'!I32)*100</f>
        <v>15.565416933823778</v>
      </c>
    </row>
    <row r="33" spans="1:32" ht="21" customHeight="1">
      <c r="A33" s="61">
        <v>26</v>
      </c>
      <c r="B33" s="46" t="s">
        <v>10</v>
      </c>
      <c r="C33" s="34">
        <v>596520</v>
      </c>
      <c r="D33" s="34">
        <v>572</v>
      </c>
      <c r="E33" s="33">
        <f t="shared" si="8"/>
        <v>597092</v>
      </c>
      <c r="F33" s="34">
        <v>180000</v>
      </c>
      <c r="G33" s="34">
        <v>14196</v>
      </c>
      <c r="H33" s="33">
        <f t="shared" si="0"/>
        <v>194196</v>
      </c>
      <c r="I33" s="34">
        <v>646591</v>
      </c>
      <c r="J33" s="448">
        <v>1395</v>
      </c>
      <c r="K33" s="33">
        <f t="shared" si="9"/>
        <v>647986</v>
      </c>
      <c r="L33" s="34">
        <v>647014</v>
      </c>
      <c r="M33" s="448">
        <v>1461</v>
      </c>
      <c r="N33" s="33">
        <f t="shared" si="1"/>
        <v>648475</v>
      </c>
      <c r="O33" s="33">
        <f t="shared" si="2"/>
        <v>423</v>
      </c>
      <c r="P33" s="33">
        <f t="shared" si="3"/>
        <v>66</v>
      </c>
      <c r="Q33" s="33">
        <f t="shared" si="10"/>
        <v>489</v>
      </c>
      <c r="R33" s="33">
        <f t="shared" si="4"/>
        <v>50494</v>
      </c>
      <c r="S33" s="33">
        <f t="shared" si="11"/>
        <v>889</v>
      </c>
      <c r="T33" s="33">
        <f t="shared" si="12"/>
        <v>51383</v>
      </c>
      <c r="U33" s="34">
        <v>492684</v>
      </c>
      <c r="V33" s="34">
        <v>492684</v>
      </c>
      <c r="W33" s="34">
        <v>492684</v>
      </c>
      <c r="X33" s="33">
        <f t="shared" si="5"/>
        <v>0</v>
      </c>
      <c r="Y33" s="33">
        <f t="shared" si="6"/>
        <v>0</v>
      </c>
      <c r="Z33" s="182">
        <f t="shared" si="7"/>
        <v>131.3243377093634</v>
      </c>
      <c r="AA33" s="33">
        <f>O33+P33+'Feb 13(7)'!V33</f>
        <v>553</v>
      </c>
      <c r="AB33" s="33">
        <f>T33+'Feb 13(7)'!Z33</f>
        <v>51580</v>
      </c>
      <c r="AC33" s="33">
        <f>N33+'Feb 13(7)'!R33</f>
        <v>651470</v>
      </c>
      <c r="AE33" s="181">
        <f>AA33/(F33+G33+'Feb 13(7)'!H33+'Feb 13(7)'!I33)*100</f>
        <v>0.28226382735458055</v>
      </c>
      <c r="AF33" s="181">
        <f>AB33/(F33+G33+'Feb 13(7)'!H33+'Feb 13(7)'!I33)*100</f>
        <v>26.32760979195165</v>
      </c>
    </row>
    <row r="34" spans="1:32" s="127" customFormat="1" ht="21" customHeight="1">
      <c r="A34" s="137"/>
      <c r="B34" s="137" t="s">
        <v>11</v>
      </c>
      <c r="C34" s="138">
        <f aca="true" t="shared" si="13" ref="C34:Y34">SUM(C8:C33)</f>
        <v>8910610</v>
      </c>
      <c r="D34" s="138">
        <f t="shared" si="13"/>
        <v>4143</v>
      </c>
      <c r="E34" s="138">
        <f t="shared" si="13"/>
        <v>8914753</v>
      </c>
      <c r="F34" s="138">
        <f t="shared" si="13"/>
        <v>3000000</v>
      </c>
      <c r="G34" s="329">
        <f>SUM(G8:G33)</f>
        <v>265564</v>
      </c>
      <c r="H34" s="138">
        <f>SUM(H8:H33)</f>
        <v>3265564</v>
      </c>
      <c r="I34" s="138">
        <f t="shared" si="13"/>
        <v>9921139</v>
      </c>
      <c r="J34" s="138">
        <f>SUM(J8:J33)</f>
        <v>9593</v>
      </c>
      <c r="K34" s="138">
        <f>SUM(K8:K33)</f>
        <v>9930732</v>
      </c>
      <c r="L34" s="138">
        <f t="shared" si="13"/>
        <v>9890750</v>
      </c>
      <c r="M34" s="138">
        <f t="shared" si="13"/>
        <v>10331</v>
      </c>
      <c r="N34" s="138">
        <f t="shared" si="13"/>
        <v>9901081</v>
      </c>
      <c r="O34" s="138">
        <f>SUM(O8:O33)</f>
        <v>-30389</v>
      </c>
      <c r="P34" s="138">
        <f t="shared" si="13"/>
        <v>738</v>
      </c>
      <c r="Q34" s="138">
        <f t="shared" si="13"/>
        <v>-29651</v>
      </c>
      <c r="R34" s="450">
        <f>SUM(R8:R33)</f>
        <v>980140</v>
      </c>
      <c r="S34" s="138">
        <f>SUM(S8:S33)</f>
        <v>6188</v>
      </c>
      <c r="T34" s="450">
        <f t="shared" si="13"/>
        <v>986328</v>
      </c>
      <c r="U34" s="138">
        <f t="shared" si="13"/>
        <v>8318842</v>
      </c>
      <c r="V34" s="138">
        <f t="shared" si="13"/>
        <v>8318842</v>
      </c>
      <c r="W34" s="138">
        <f t="shared" si="13"/>
        <v>8526074</v>
      </c>
      <c r="X34" s="138">
        <f t="shared" si="13"/>
        <v>207232</v>
      </c>
      <c r="Y34" s="138">
        <f t="shared" si="13"/>
        <v>207232</v>
      </c>
      <c r="Z34" s="184">
        <f t="shared" si="7"/>
        <v>116.00591315533973</v>
      </c>
      <c r="AA34" s="138">
        <f>SUM(AA8:AA33)</f>
        <v>-25274</v>
      </c>
      <c r="AB34" s="138">
        <f>SUM(AB8:AB33)</f>
        <v>1021621</v>
      </c>
      <c r="AC34" s="138">
        <f>SUM(AC8:AC33)</f>
        <v>10081443</v>
      </c>
      <c r="AE34" s="377">
        <f>AA34/(F34+G34+'Feb 13(7)'!H34+'Feb 13(7)'!I34)*100</f>
        <v>-0.7151297159400869</v>
      </c>
      <c r="AF34" s="377">
        <f>AB34/(F34+G34+'Feb 13(7)'!H34+'Feb 13(7)'!I34)*100</f>
        <v>28.90684242812485</v>
      </c>
    </row>
    <row r="35" spans="1:29" s="127" customFormat="1" ht="21" customHeight="1">
      <c r="A35" s="472" t="s">
        <v>148</v>
      </c>
      <c r="B35" s="472"/>
      <c r="C35" s="184">
        <f>C34/1000000</f>
        <v>8.91061</v>
      </c>
      <c r="D35" s="184">
        <f>D34/1000000</f>
        <v>0.004143</v>
      </c>
      <c r="E35" s="184">
        <f>E34/1000000</f>
        <v>8.914753</v>
      </c>
      <c r="F35" s="184">
        <f aca="true" t="shared" si="14" ref="F35:Y35">F34/1000000</f>
        <v>3</v>
      </c>
      <c r="G35" s="184">
        <f>G34/1000000</f>
        <v>0.265564</v>
      </c>
      <c r="H35" s="184">
        <f>H34/1000000</f>
        <v>3.265564</v>
      </c>
      <c r="I35" s="184">
        <f t="shared" si="14"/>
        <v>9.921139</v>
      </c>
      <c r="J35" s="184">
        <f>J34/1000000</f>
        <v>0.009593</v>
      </c>
      <c r="K35" s="184">
        <f>K34/1000000</f>
        <v>9.930732</v>
      </c>
      <c r="L35" s="184">
        <f t="shared" si="14"/>
        <v>9.89075</v>
      </c>
      <c r="M35" s="184">
        <f t="shared" si="14"/>
        <v>0.010331</v>
      </c>
      <c r="N35" s="184">
        <f t="shared" si="14"/>
        <v>9.901081</v>
      </c>
      <c r="O35" s="184">
        <f t="shared" si="14"/>
        <v>-0.030389</v>
      </c>
      <c r="P35" s="184">
        <f t="shared" si="14"/>
        <v>0.000738</v>
      </c>
      <c r="Q35" s="184">
        <f t="shared" si="14"/>
        <v>-0.029651</v>
      </c>
      <c r="R35" s="184">
        <f>R34/1000000</f>
        <v>0.98014</v>
      </c>
      <c r="S35" s="184">
        <f>S34/1000000</f>
        <v>0.006188</v>
      </c>
      <c r="T35" s="184">
        <f t="shared" si="14"/>
        <v>0.986328</v>
      </c>
      <c r="U35" s="184">
        <f t="shared" si="14"/>
        <v>8.318842</v>
      </c>
      <c r="V35" s="184">
        <f t="shared" si="14"/>
        <v>8.318842</v>
      </c>
      <c r="W35" s="184">
        <f t="shared" si="14"/>
        <v>8.526074</v>
      </c>
      <c r="X35" s="184">
        <f t="shared" si="14"/>
        <v>0.207232</v>
      </c>
      <c r="Y35" s="184">
        <f t="shared" si="14"/>
        <v>0.207232</v>
      </c>
      <c r="Z35" s="294" t="s">
        <v>103</v>
      </c>
      <c r="AA35" s="184">
        <f>AA34/1000000</f>
        <v>-0.025274</v>
      </c>
      <c r="AB35" s="184">
        <f>AB34/1000000</f>
        <v>1.021621</v>
      </c>
      <c r="AC35" s="184">
        <f>AC34/1000000</f>
        <v>10.081443</v>
      </c>
    </row>
    <row r="36" spans="1:26" s="127" customFormat="1" ht="18" customHeight="1">
      <c r="A36" s="139"/>
      <c r="B36" s="130" t="s">
        <v>110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32" ht="12" customHeight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F37" s="136"/>
    </row>
    <row r="38" spans="1:26" ht="18" customHeight="1">
      <c r="A38" s="141"/>
      <c r="B38" s="143" t="s">
        <v>30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5"/>
      <c r="Y38" s="166"/>
      <c r="Z38" s="166"/>
    </row>
    <row r="39" spans="1:26" ht="17.25" customHeight="1">
      <c r="A39" s="141"/>
      <c r="B39" s="143" t="s">
        <v>15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</row>
    <row r="40" spans="1:26" ht="18" customHeight="1">
      <c r="A40" s="141"/>
      <c r="B40" s="148" t="s">
        <v>58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7"/>
      <c r="Y40" s="147"/>
      <c r="Z40" s="147"/>
    </row>
    <row r="41" spans="1:26" ht="18" customHeight="1">
      <c r="A41" s="141"/>
      <c r="B41" s="148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</row>
    <row r="42" spans="1:26" ht="18" customHeight="1">
      <c r="A42" s="141"/>
      <c r="B42" s="143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</row>
    <row r="43" spans="1:8" ht="18" customHeight="1">
      <c r="A43" s="141"/>
      <c r="B43" s="132"/>
      <c r="C43" s="188">
        <f>C34+2500000</f>
        <v>11410610</v>
      </c>
      <c r="D43" s="188"/>
      <c r="E43" s="188"/>
      <c r="F43" s="141"/>
      <c r="G43" s="141"/>
      <c r="H43" s="141"/>
    </row>
    <row r="44" spans="1:14" ht="19.5" customHeight="1">
      <c r="A44" s="132"/>
      <c r="B44" s="132"/>
      <c r="C44" s="132">
        <v>7500000</v>
      </c>
      <c r="D44" s="132"/>
      <c r="E44" s="132"/>
      <c r="F44" s="132"/>
      <c r="G44" s="132"/>
      <c r="H44" s="132"/>
      <c r="L44" s="172"/>
      <c r="M44" s="172"/>
      <c r="N44" s="172"/>
    </row>
    <row r="45" spans="1:26" ht="15.75">
      <c r="A45" s="132"/>
      <c r="B45" s="126"/>
      <c r="C45" s="303">
        <f>C43+C44</f>
        <v>18910610</v>
      </c>
      <c r="D45" s="303"/>
      <c r="E45" s="303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</row>
    <row r="46" spans="1:26" ht="15.75">
      <c r="A46" s="132"/>
      <c r="B46" s="126"/>
      <c r="C46" s="126">
        <v>1500000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</row>
    <row r="47" spans="1:26" ht="15.75">
      <c r="A47" s="132"/>
      <c r="B47" s="126"/>
      <c r="C47" s="188">
        <f>C46+C45</f>
        <v>20410610</v>
      </c>
      <c r="D47" s="188"/>
      <c r="E47" s="188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</row>
    <row r="48" spans="1:26" ht="15.75">
      <c r="A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</row>
    <row r="49" ht="15" customHeight="1"/>
    <row r="50" ht="15" customHeight="1"/>
    <row r="51" spans="12:24" ht="15" customHeight="1"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529"/>
      <c r="W51" s="529"/>
      <c r="X51" s="529"/>
    </row>
    <row r="52" spans="12:24" ht="15" customHeight="1"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529"/>
      <c r="W52" s="136"/>
      <c r="X52" s="136"/>
    </row>
    <row r="53" spans="2:24" ht="15" customHeight="1">
      <c r="B53" s="154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</row>
    <row r="54" spans="2:26" ht="18"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</row>
    <row r="55" spans="2:26" ht="18"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</row>
    <row r="56" spans="2:26" ht="18"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</row>
    <row r="57" spans="2:26" ht="18"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</row>
    <row r="58" spans="2:26" ht="18"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</row>
    <row r="59" spans="2:26" ht="18"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</row>
    <row r="60" spans="3:26" ht="18"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</row>
  </sheetData>
  <sheetProtection/>
  <mergeCells count="25">
    <mergeCell ref="C5:E6"/>
    <mergeCell ref="V5:V7"/>
    <mergeCell ref="V51:V52"/>
    <mergeCell ref="W51:X51"/>
    <mergeCell ref="A4:A7"/>
    <mergeCell ref="B4:B7"/>
    <mergeCell ref="A35:B35"/>
    <mergeCell ref="C4:T4"/>
    <mergeCell ref="W5:W7"/>
    <mergeCell ref="L5:N6"/>
    <mergeCell ref="O6:Q6"/>
    <mergeCell ref="AA4:AB5"/>
    <mergeCell ref="R6:T6"/>
    <mergeCell ref="AC4:AC7"/>
    <mergeCell ref="AA6:AA7"/>
    <mergeCell ref="AB6:AB7"/>
    <mergeCell ref="X6:X7"/>
    <mergeCell ref="Y6:Y7"/>
    <mergeCell ref="U4:Y4"/>
    <mergeCell ref="X5:Y5"/>
    <mergeCell ref="Z4:Z7"/>
    <mergeCell ref="F5:H6"/>
    <mergeCell ref="I5:K6"/>
    <mergeCell ref="U5:U7"/>
    <mergeCell ref="O5:T5"/>
  </mergeCells>
  <conditionalFormatting sqref="X8:X33">
    <cfRule type="top10" priority="184" dxfId="3" stopIfTrue="1" rank="5" bottom="1"/>
    <cfRule type="top10" priority="185" dxfId="117" stopIfTrue="1" rank="5" bottom="1"/>
    <cfRule type="top10" priority="186" dxfId="0" stopIfTrue="1" rank="5"/>
  </conditionalFormatting>
  <conditionalFormatting sqref="V8:V33">
    <cfRule type="top10" priority="540" dxfId="1" stopIfTrue="1" rank="10"/>
    <cfRule type="top10" priority="541" dxfId="0" stopIfTrue="1" rank="5"/>
  </conditionalFormatting>
  <conditionalFormatting sqref="U30">
    <cfRule type="top10" priority="570" dxfId="1" stopIfTrue="1" rank="10"/>
    <cfRule type="top10" priority="571" dxfId="0" stopIfTrue="1" rank="5"/>
  </conditionalFormatting>
  <conditionalFormatting sqref="Z8:Z33">
    <cfRule type="top10" priority="588" dxfId="3" stopIfTrue="1" rank="5" bottom="1"/>
    <cfRule type="top10" priority="589" dxfId="0" stopIfTrue="1" rank="5"/>
  </conditionalFormatting>
  <conditionalFormatting sqref="C30:E30">
    <cfRule type="top10" priority="596" dxfId="1" stopIfTrue="1" rank="10"/>
    <cfRule type="top10" priority="597" dxfId="0" stopIfTrue="1" rank="5"/>
  </conditionalFormatting>
  <conditionalFormatting sqref="O8:S33">
    <cfRule type="top10" priority="601" dxfId="3" stopIfTrue="1" rank="5" bottom="1"/>
    <cfRule type="top10" priority="602" dxfId="0" stopIfTrue="1" rank="5"/>
  </conditionalFormatting>
  <conditionalFormatting sqref="T8:T33">
    <cfRule type="top10" priority="606" dxfId="3" stopIfTrue="1" rank="5" bottom="1"/>
    <cfRule type="top10" priority="607" dxfId="0" stopIfTrue="1" rank="5"/>
  </conditionalFormatting>
  <conditionalFormatting sqref="AC8:AC33">
    <cfRule type="top10" priority="136" dxfId="3" stopIfTrue="1" rank="5" bottom="1"/>
    <cfRule type="top10" priority="137" dxfId="0" stopIfTrue="1" rank="5"/>
  </conditionalFormatting>
  <conditionalFormatting sqref="I8:K33">
    <cfRule type="top10" priority="609" dxfId="0" stopIfTrue="1" rank="5"/>
  </conditionalFormatting>
  <conditionalFormatting sqref="I8:K33">
    <cfRule type="top10" priority="610" dxfId="1" stopIfTrue="1" rank="10"/>
    <cfRule type="top10" priority="611" dxfId="0" stopIfTrue="1" rank="5"/>
  </conditionalFormatting>
  <conditionalFormatting sqref="AA8:AA33">
    <cfRule type="top10" priority="134" dxfId="3" stopIfTrue="1" rank="3" bottom="1"/>
    <cfRule type="top10" priority="135" dxfId="0" stopIfTrue="1" rank="3"/>
  </conditionalFormatting>
  <conditionalFormatting sqref="AB8:AB33">
    <cfRule type="top10" priority="132" dxfId="3" stopIfTrue="1" rank="3" bottom="1"/>
    <cfRule type="top10" priority="133" dxfId="0" stopIfTrue="1" rank="3"/>
  </conditionalFormatting>
  <conditionalFormatting sqref="M8:M33">
    <cfRule type="top10" priority="131" dxfId="0" stopIfTrue="1" rank="5"/>
  </conditionalFormatting>
  <conditionalFormatting sqref="M8:M33">
    <cfRule type="top10" priority="129" dxfId="1" stopIfTrue="1" rank="10"/>
    <cfRule type="top10" priority="130" dxfId="0" stopIfTrue="1" rank="5"/>
  </conditionalFormatting>
  <conditionalFormatting sqref="J8:K33">
    <cfRule type="top10" priority="128" dxfId="0" stopIfTrue="1" rank="5"/>
  </conditionalFormatting>
  <conditionalFormatting sqref="J8:K33">
    <cfRule type="top10" priority="126" dxfId="1" stopIfTrue="1" rank="10"/>
    <cfRule type="top10" priority="127" dxfId="0" stopIfTrue="1" rank="5"/>
  </conditionalFormatting>
  <conditionalFormatting sqref="AE8:AE34">
    <cfRule type="top10" priority="122" dxfId="0" stopIfTrue="1" rank="3"/>
  </conditionalFormatting>
  <conditionalFormatting sqref="AE8:AE34">
    <cfRule type="top10" priority="116" dxfId="117" stopIfTrue="1" rank="3" bottom="1"/>
    <cfRule type="top10" priority="117" dxfId="0" stopIfTrue="1" rank="3"/>
  </conditionalFormatting>
  <conditionalFormatting sqref="AE8:AE34">
    <cfRule type="top10" priority="114" dxfId="117" stopIfTrue="1" rank="3" bottom="1"/>
    <cfRule type="top10" priority="115" dxfId="0" stopIfTrue="1" rank="3"/>
  </conditionalFormatting>
  <conditionalFormatting sqref="D8:D33">
    <cfRule type="top10" priority="113" dxfId="0" stopIfTrue="1" rank="5"/>
  </conditionalFormatting>
  <conditionalFormatting sqref="D8:D33">
    <cfRule type="top10" priority="111" dxfId="1" stopIfTrue="1" rank="10"/>
    <cfRule type="top10" priority="112" dxfId="0" stopIfTrue="1" rank="5"/>
  </conditionalFormatting>
  <conditionalFormatting sqref="L30:M30">
    <cfRule type="top10" priority="109" dxfId="1" stopIfTrue="1" rank="10"/>
    <cfRule type="top10" priority="110" dxfId="0" stopIfTrue="1" rank="5"/>
  </conditionalFormatting>
  <conditionalFormatting sqref="L8:M33">
    <cfRule type="top10" priority="107" dxfId="0" stopIfTrue="1" rank="5"/>
  </conditionalFormatting>
  <conditionalFormatting sqref="I30:J30">
    <cfRule type="top10" priority="102" dxfId="1" stopIfTrue="1" rank="10"/>
    <cfRule type="top10" priority="103" dxfId="0" stopIfTrue="1" rank="5"/>
  </conditionalFormatting>
  <conditionalFormatting sqref="I8:J33">
    <cfRule type="top10" priority="100" dxfId="0" stopIfTrue="1" rank="5"/>
  </conditionalFormatting>
  <conditionalFormatting sqref="J8:J33">
    <cfRule type="top10" priority="99" dxfId="0" stopIfTrue="1" rank="5"/>
  </conditionalFormatting>
  <conditionalFormatting sqref="J8:J33">
    <cfRule type="top10" priority="97" dxfId="1" stopIfTrue="1" rank="10"/>
    <cfRule type="top10" priority="98" dxfId="0" stopIfTrue="1" rank="5"/>
  </conditionalFormatting>
  <conditionalFormatting sqref="J8:J33">
    <cfRule type="top10" priority="86" dxfId="0" stopIfTrue="1" rank="5"/>
  </conditionalFormatting>
  <conditionalFormatting sqref="J8:J33">
    <cfRule type="top10" priority="84" dxfId="1" stopIfTrue="1" rank="10"/>
    <cfRule type="top10" priority="85" dxfId="0" stopIfTrue="1" rank="5"/>
  </conditionalFormatting>
  <conditionalFormatting sqref="I30:J30">
    <cfRule type="top10" priority="82" dxfId="1" stopIfTrue="1" rank="10"/>
    <cfRule type="top10" priority="83" dxfId="0" stopIfTrue="1" rank="5"/>
  </conditionalFormatting>
  <conditionalFormatting sqref="I8:J33">
    <cfRule type="top10" priority="80" dxfId="0" stopIfTrue="1" rank="5"/>
  </conditionalFormatting>
  <conditionalFormatting sqref="J8:J33">
    <cfRule type="top10" priority="79" dxfId="0" stopIfTrue="1" rank="5"/>
  </conditionalFormatting>
  <conditionalFormatting sqref="J8:J33">
    <cfRule type="top10" priority="77" dxfId="1" stopIfTrue="1" rank="10"/>
    <cfRule type="top10" priority="78" dxfId="0" stopIfTrue="1" rank="5"/>
  </conditionalFormatting>
  <conditionalFormatting sqref="I30:J30">
    <cfRule type="top10" priority="75" dxfId="1" stopIfTrue="1" rank="10"/>
    <cfRule type="top10" priority="76" dxfId="0" stopIfTrue="1" rank="5"/>
  </conditionalFormatting>
  <conditionalFormatting sqref="I8:J33">
    <cfRule type="top10" priority="73" dxfId="0" stopIfTrue="1" rank="5"/>
  </conditionalFormatting>
  <conditionalFormatting sqref="AF8:AF34">
    <cfRule type="top10" priority="69" dxfId="117" stopIfTrue="1" rank="3" bottom="1"/>
    <cfRule type="top10" priority="70" dxfId="117" stopIfTrue="1" rank="2" bottom="1"/>
    <cfRule type="top10" priority="71" dxfId="0" stopIfTrue="1" rank="3"/>
  </conditionalFormatting>
  <conditionalFormatting sqref="J8:J21">
    <cfRule type="top10" priority="68" dxfId="0" stopIfTrue="1" rank="5"/>
  </conditionalFormatting>
  <conditionalFormatting sqref="J8:J21">
    <cfRule type="top10" priority="66" dxfId="1" stopIfTrue="1" rank="10"/>
    <cfRule type="top10" priority="67" dxfId="0" stopIfTrue="1" rank="5"/>
  </conditionalFormatting>
  <conditionalFormatting sqref="I8:J21">
    <cfRule type="top10" priority="64" dxfId="0" stopIfTrue="1" rank="5"/>
  </conditionalFormatting>
  <conditionalFormatting sqref="J22:J25">
    <cfRule type="top10" priority="63" dxfId="0" stopIfTrue="1" rank="5"/>
  </conditionalFormatting>
  <conditionalFormatting sqref="J22:J25">
    <cfRule type="top10" priority="61" dxfId="1" stopIfTrue="1" rank="10"/>
    <cfRule type="top10" priority="62" dxfId="0" stopIfTrue="1" rank="5"/>
  </conditionalFormatting>
  <conditionalFormatting sqref="I22:J25">
    <cfRule type="top10" priority="60" dxfId="0" stopIfTrue="1" rank="5"/>
  </conditionalFormatting>
  <conditionalFormatting sqref="I22:J25">
    <cfRule type="top10" priority="59" dxfId="0" stopIfTrue="1" rank="5"/>
  </conditionalFormatting>
  <conditionalFormatting sqref="J26:J33">
    <cfRule type="top10" priority="58" dxfId="0" stopIfTrue="1" rank="5"/>
  </conditionalFormatting>
  <conditionalFormatting sqref="J26:J33">
    <cfRule type="top10" priority="56" dxfId="1" stopIfTrue="1" rank="10"/>
    <cfRule type="top10" priority="57" dxfId="0" stopIfTrue="1" rank="5"/>
  </conditionalFormatting>
  <conditionalFormatting sqref="I30:J30">
    <cfRule type="top10" priority="54" dxfId="1" stopIfTrue="1" rank="10"/>
    <cfRule type="top10" priority="55" dxfId="0" stopIfTrue="1" rank="5"/>
  </conditionalFormatting>
  <conditionalFormatting sqref="I26:J33">
    <cfRule type="top10" priority="53" dxfId="0" stopIfTrue="1" rank="5"/>
  </conditionalFormatting>
  <conditionalFormatting sqref="I26:J33">
    <cfRule type="top10" priority="52" dxfId="0" stopIfTrue="1" rank="5"/>
  </conditionalFormatting>
  <conditionalFormatting sqref="I30">
    <cfRule type="top10" priority="50" dxfId="1" stopIfTrue="1" rank="10"/>
    <cfRule type="top10" priority="51" dxfId="0" stopIfTrue="1" rank="5"/>
  </conditionalFormatting>
  <conditionalFormatting sqref="I8:I33">
    <cfRule type="top10" priority="48" dxfId="0" stopIfTrue="1" rank="5"/>
  </conditionalFormatting>
  <conditionalFormatting sqref="J8:J33">
    <cfRule type="top10" priority="47" dxfId="0" stopIfTrue="1" rank="5"/>
  </conditionalFormatting>
  <conditionalFormatting sqref="J8:J33">
    <cfRule type="top10" priority="45" dxfId="1" stopIfTrue="1" rank="10"/>
    <cfRule type="top10" priority="46" dxfId="0" stopIfTrue="1" rank="5"/>
  </conditionalFormatting>
  <conditionalFormatting sqref="J30">
    <cfRule type="top10" priority="43" dxfId="1" stopIfTrue="1" rank="10"/>
    <cfRule type="top10" priority="44" dxfId="0" stopIfTrue="1" rank="5"/>
  </conditionalFormatting>
  <conditionalFormatting sqref="J8:J33">
    <cfRule type="top10" priority="41" dxfId="0" stopIfTrue="1" rank="5"/>
  </conditionalFormatting>
  <conditionalFormatting sqref="J8:J23">
    <cfRule type="top10" priority="40" dxfId="0" stopIfTrue="1" rank="5"/>
  </conditionalFormatting>
  <conditionalFormatting sqref="J8:J23">
    <cfRule type="top10" priority="38" dxfId="1" stopIfTrue="1" rank="10"/>
    <cfRule type="top10" priority="39" dxfId="0" stopIfTrue="1" rank="5"/>
  </conditionalFormatting>
  <conditionalFormatting sqref="I8:J23">
    <cfRule type="top10" priority="36" dxfId="0" stopIfTrue="1" rank="5"/>
  </conditionalFormatting>
  <conditionalFormatting sqref="J24:J33">
    <cfRule type="top10" priority="35" dxfId="0" stopIfTrue="1" rank="5"/>
  </conditionalFormatting>
  <conditionalFormatting sqref="J24:J33">
    <cfRule type="top10" priority="33" dxfId="1" stopIfTrue="1" rank="10"/>
    <cfRule type="top10" priority="34" dxfId="0" stopIfTrue="1" rank="5"/>
  </conditionalFormatting>
  <conditionalFormatting sqref="I30:J30">
    <cfRule type="top10" priority="31" dxfId="1" stopIfTrue="1" rank="10"/>
    <cfRule type="top10" priority="32" dxfId="0" stopIfTrue="1" rank="5"/>
  </conditionalFormatting>
  <conditionalFormatting sqref="I24:J33">
    <cfRule type="top10" priority="30" dxfId="0" stopIfTrue="1" rank="5"/>
  </conditionalFormatting>
  <conditionalFormatting sqref="I24:J33">
    <cfRule type="top10" priority="29" dxfId="0" stopIfTrue="1" rank="5"/>
  </conditionalFormatting>
  <conditionalFormatting sqref="J8:J33">
    <cfRule type="top10" priority="28" dxfId="0" stopIfTrue="1" rank="5"/>
  </conditionalFormatting>
  <conditionalFormatting sqref="J8:J33">
    <cfRule type="top10" priority="26" dxfId="1" stopIfTrue="1" rank="10"/>
    <cfRule type="top10" priority="27" dxfId="0" stopIfTrue="1" rank="5"/>
  </conditionalFormatting>
  <conditionalFormatting sqref="I30:J30">
    <cfRule type="top10" priority="24" dxfId="1" stopIfTrue="1" rank="10"/>
    <cfRule type="top10" priority="25" dxfId="0" stopIfTrue="1" rank="5"/>
  </conditionalFormatting>
  <conditionalFormatting sqref="I8:J33">
    <cfRule type="top10" priority="22" dxfId="0" stopIfTrue="1" rank="5"/>
  </conditionalFormatting>
  <conditionalFormatting sqref="J8:J33">
    <cfRule type="top10" priority="21" dxfId="0" stopIfTrue="1" rank="5"/>
  </conditionalFormatting>
  <conditionalFormatting sqref="J8:J33">
    <cfRule type="top10" priority="19" dxfId="1" stopIfTrue="1" rank="10"/>
    <cfRule type="top10" priority="20" dxfId="0" stopIfTrue="1" rank="5"/>
  </conditionalFormatting>
  <conditionalFormatting sqref="I30:J30">
    <cfRule type="top10" priority="17" dxfId="1" stopIfTrue="1" rank="10"/>
    <cfRule type="top10" priority="18" dxfId="0" stopIfTrue="1" rank="5"/>
  </conditionalFormatting>
  <conditionalFormatting sqref="I8:J33">
    <cfRule type="top10" priority="15" dxfId="0" stopIfTrue="1" rank="5"/>
  </conditionalFormatting>
  <conditionalFormatting sqref="J8:J33">
    <cfRule type="top10" priority="14" dxfId="0" stopIfTrue="1" rank="5"/>
  </conditionalFormatting>
  <conditionalFormatting sqref="J8:J33">
    <cfRule type="top10" priority="12" dxfId="1" stopIfTrue="1" rank="10"/>
    <cfRule type="top10" priority="13" dxfId="0" stopIfTrue="1" rank="5"/>
  </conditionalFormatting>
  <conditionalFormatting sqref="I30:J30">
    <cfRule type="top10" priority="10" dxfId="1" stopIfTrue="1" rank="10"/>
    <cfRule type="top10" priority="11" dxfId="0" stopIfTrue="1" rank="5"/>
  </conditionalFormatting>
  <conditionalFormatting sqref="I8:J33">
    <cfRule type="top10" priority="8" dxfId="0" stopIfTrue="1" rank="5"/>
  </conditionalFormatting>
  <conditionalFormatting sqref="J8:J33">
    <cfRule type="top10" priority="7" dxfId="0" stopIfTrue="1" rank="5"/>
  </conditionalFormatting>
  <conditionalFormatting sqref="J8:J33">
    <cfRule type="top10" priority="5" dxfId="1" stopIfTrue="1" rank="10"/>
    <cfRule type="top10" priority="6" dxfId="0" stopIfTrue="1" rank="5"/>
  </conditionalFormatting>
  <conditionalFormatting sqref="I30:J30">
    <cfRule type="top10" priority="3" dxfId="1" stopIfTrue="1" rank="10"/>
    <cfRule type="top10" priority="4" dxfId="0" stopIfTrue="1" rank="5"/>
  </conditionalFormatting>
  <conditionalFormatting sqref="I8:J33">
    <cfRule type="top10" priority="1" dxfId="0" stopIfTrue="1" rank="5"/>
  </conditionalFormatting>
  <conditionalFormatting sqref="Y34 X8:Z33">
    <cfRule type="top10" priority="590" dxfId="3" stopIfTrue="1" rank="5" bottom="1"/>
    <cfRule type="top10" priority="591" dxfId="0" stopIfTrue="1" rank="5"/>
  </conditionalFormatting>
  <conditionalFormatting sqref="C12:E16 C18:E33 C8:E10 E11:E33">
    <cfRule type="top10" priority="598" dxfId="0" stopIfTrue="1" rank="5"/>
  </conditionalFormatting>
  <conditionalFormatting sqref="F8:H8 C8:E33 H9:H33">
    <cfRule type="top10" priority="599" dxfId="0" stopIfTrue="1" rank="5"/>
  </conditionalFormatting>
  <conditionalFormatting sqref="T8:T10 T12:T16 T18:T33">
    <cfRule type="top10" priority="608" dxfId="0" stopIfTrue="1" rank="5"/>
  </conditionalFormatting>
  <conditionalFormatting sqref="L12:M16 L8:M10 L17 L18:M33">
    <cfRule type="top10" priority="108" dxfId="0" stopIfTrue="1" rank="5"/>
  </conditionalFormatting>
  <conditionalFormatting sqref="I12:J16 I18:J33 I8:J10">
    <cfRule type="top10" priority="101" dxfId="0" stopIfTrue="1" rank="5"/>
  </conditionalFormatting>
  <conditionalFormatting sqref="I12:J16 I18:J33 I8:J10">
    <cfRule type="top10" priority="81" dxfId="0" stopIfTrue="1" rank="5"/>
  </conditionalFormatting>
  <conditionalFormatting sqref="I12:J16 I18:J33 I8:J10">
    <cfRule type="top10" priority="74" dxfId="0" stopIfTrue="1" rank="5"/>
  </conditionalFormatting>
  <conditionalFormatting sqref="I12:J16 I18:J21 I8:J10">
    <cfRule type="top10" priority="65" dxfId="0" stopIfTrue="1" rank="5"/>
  </conditionalFormatting>
  <conditionalFormatting sqref="I12:I16 I18:I33 I8:I10">
    <cfRule type="top10" priority="49" dxfId="0" stopIfTrue="1" rank="5"/>
  </conditionalFormatting>
  <conditionalFormatting sqref="J12:J16 J18:J33 J8:J10">
    <cfRule type="top10" priority="42" dxfId="0" stopIfTrue="1" rank="5"/>
  </conditionalFormatting>
  <conditionalFormatting sqref="I12:J16 I8:J10 I17 I18:J23">
    <cfRule type="top10" priority="37" dxfId="0" stopIfTrue="1" rank="5"/>
  </conditionalFormatting>
  <conditionalFormatting sqref="I12:J16 I8:J10 I17 I18:J33">
    <cfRule type="top10" priority="23" dxfId="0" stopIfTrue="1" rank="5"/>
  </conditionalFormatting>
  <conditionalFormatting sqref="I12:J16 I8:J10 I17 I18:J33">
    <cfRule type="top10" priority="16" dxfId="0" stopIfTrue="1" rank="5"/>
  </conditionalFormatting>
  <conditionalFormatting sqref="I12:J16 I8:J10 I17 I18:J33">
    <cfRule type="top10" priority="9" dxfId="0" stopIfTrue="1" rank="5"/>
  </conditionalFormatting>
  <conditionalFormatting sqref="I12:J16 I8:J10 I17 I18:J33">
    <cfRule type="top10" priority="2" dxfId="0" stopIfTrue="1" rank="5"/>
  </conditionalFormatting>
  <printOptions/>
  <pageMargins left="0.1968503937007874" right="0" top="0.3937007874015748" bottom="0.1968503937007874" header="0.31496062992125984" footer="0.31496062992125984"/>
  <pageSetup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3"/>
  <sheetViews>
    <sheetView zoomScalePageLayoutView="0" workbookViewId="0" topLeftCell="A1">
      <pane xSplit="2" ySplit="7" topLeftCell="D2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A33" sqref="AA33"/>
    </sheetView>
  </sheetViews>
  <sheetFormatPr defaultColWidth="7.8515625" defaultRowHeight="12.75"/>
  <cols>
    <col min="1" max="1" width="4.8515625" style="125" customWidth="1"/>
    <col min="2" max="2" width="12.421875" style="125" customWidth="1"/>
    <col min="3" max="3" width="0.13671875" style="125" hidden="1" customWidth="1"/>
    <col min="4" max="4" width="9.28125" style="125" customWidth="1"/>
    <col min="5" max="5" width="8.28125" style="125" customWidth="1"/>
    <col min="6" max="6" width="9.8515625" style="125" customWidth="1"/>
    <col min="7" max="7" width="10.140625" style="125" hidden="1" customWidth="1"/>
    <col min="8" max="8" width="7.28125" style="125" bestFit="1" customWidth="1"/>
    <col min="9" max="9" width="9.8515625" style="125" customWidth="1"/>
    <col min="10" max="10" width="9.00390625" style="125" customWidth="1"/>
    <col min="11" max="13" width="9.7109375" style="125" hidden="1" customWidth="1"/>
    <col min="14" max="14" width="10.421875" style="125" hidden="1" customWidth="1"/>
    <col min="15" max="15" width="10.140625" style="125" hidden="1" customWidth="1"/>
    <col min="16" max="16" width="9.00390625" style="125" customWidth="1"/>
    <col min="17" max="17" width="7.421875" style="125" customWidth="1"/>
    <col min="18" max="18" width="9.8515625" style="125" customWidth="1"/>
    <col min="19" max="19" width="9.28125" style="125" hidden="1" customWidth="1"/>
    <col min="20" max="20" width="7.8515625" style="125" customWidth="1"/>
    <col min="21" max="21" width="7.7109375" style="125" customWidth="1"/>
    <col min="22" max="22" width="8.00390625" style="125" customWidth="1"/>
    <col min="23" max="23" width="10.421875" style="125" hidden="1" customWidth="1"/>
    <col min="24" max="25" width="7.28125" style="125" customWidth="1"/>
    <col min="26" max="26" width="10.140625" style="125" customWidth="1"/>
    <col min="27" max="16384" width="7.8515625" style="125" customWidth="1"/>
  </cols>
  <sheetData>
    <row r="1" spans="1:26" ht="16.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26" t="s">
        <v>133</v>
      </c>
    </row>
    <row r="2" spans="2:30" ht="16.5" customHeight="1">
      <c r="B2" s="348" t="s">
        <v>218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376"/>
      <c r="R2" s="283" t="str">
        <f>'Dec 09 (7)'!N3</f>
        <v>No.1-2(1)/2012-CP&amp;M-LTP    </v>
      </c>
      <c r="S2" s="134"/>
      <c r="T2" s="134"/>
      <c r="U2" s="134"/>
      <c r="V2" s="134"/>
      <c r="W2" s="134"/>
      <c r="X2" s="134"/>
      <c r="Y2" s="134"/>
      <c r="AB2" s="330"/>
      <c r="AC2" s="136"/>
      <c r="AD2" s="331"/>
    </row>
    <row r="3" spans="1:30" ht="13.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B3" s="330"/>
      <c r="AC3" s="136"/>
      <c r="AD3" s="331"/>
    </row>
    <row r="4" spans="1:30" ht="21.75" customHeight="1">
      <c r="A4" s="520" t="s">
        <v>18</v>
      </c>
      <c r="B4" s="520" t="s">
        <v>17</v>
      </c>
      <c r="C4" s="531" t="s">
        <v>140</v>
      </c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3"/>
      <c r="AB4" s="330"/>
      <c r="AC4" s="136"/>
      <c r="AD4" s="331"/>
    </row>
    <row r="5" spans="1:30" ht="25.5" customHeight="1">
      <c r="A5" s="520"/>
      <c r="B5" s="520"/>
      <c r="C5" s="520" t="s">
        <v>143</v>
      </c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30" t="s">
        <v>144</v>
      </c>
      <c r="T5" s="530"/>
      <c r="U5" s="530"/>
      <c r="V5" s="530"/>
      <c r="W5" s="530"/>
      <c r="X5" s="530"/>
      <c r="Y5" s="530"/>
      <c r="Z5" s="530"/>
      <c r="AB5" s="330"/>
      <c r="AC5" s="136"/>
      <c r="AD5" s="331"/>
    </row>
    <row r="6" spans="1:30" ht="15" customHeight="1">
      <c r="A6" s="520"/>
      <c r="B6" s="520"/>
      <c r="C6" s="530" t="s">
        <v>189</v>
      </c>
      <c r="D6" s="530"/>
      <c r="E6" s="530"/>
      <c r="F6" s="530"/>
      <c r="G6" s="530" t="s">
        <v>91</v>
      </c>
      <c r="H6" s="530"/>
      <c r="I6" s="530"/>
      <c r="J6" s="530"/>
      <c r="K6" s="530" t="s">
        <v>202</v>
      </c>
      <c r="L6" s="530"/>
      <c r="M6" s="530"/>
      <c r="N6" s="530"/>
      <c r="O6" s="530" t="s">
        <v>219</v>
      </c>
      <c r="P6" s="530"/>
      <c r="Q6" s="530"/>
      <c r="R6" s="530"/>
      <c r="S6" s="530" t="s">
        <v>0</v>
      </c>
      <c r="T6" s="530"/>
      <c r="U6" s="530"/>
      <c r="V6" s="530"/>
      <c r="W6" s="530" t="s">
        <v>187</v>
      </c>
      <c r="X6" s="530"/>
      <c r="Y6" s="530"/>
      <c r="Z6" s="530"/>
      <c r="AB6" s="330"/>
      <c r="AC6" s="136"/>
      <c r="AD6" s="331"/>
    </row>
    <row r="7" spans="1:30" ht="45">
      <c r="A7" s="520"/>
      <c r="B7" s="520"/>
      <c r="C7" s="282" t="s">
        <v>141</v>
      </c>
      <c r="D7" s="282" t="s">
        <v>142</v>
      </c>
      <c r="E7" s="282" t="s">
        <v>164</v>
      </c>
      <c r="F7" s="282" t="s">
        <v>2</v>
      </c>
      <c r="G7" s="282" t="s">
        <v>141</v>
      </c>
      <c r="H7" s="282" t="s">
        <v>142</v>
      </c>
      <c r="I7" s="282" t="s">
        <v>164</v>
      </c>
      <c r="J7" s="282" t="s">
        <v>2</v>
      </c>
      <c r="K7" s="282" t="s">
        <v>141</v>
      </c>
      <c r="L7" s="282" t="s">
        <v>142</v>
      </c>
      <c r="M7" s="282" t="s">
        <v>164</v>
      </c>
      <c r="N7" s="282" t="s">
        <v>2</v>
      </c>
      <c r="O7" s="282" t="s">
        <v>141</v>
      </c>
      <c r="P7" s="282" t="s">
        <v>142</v>
      </c>
      <c r="Q7" s="282" t="s">
        <v>164</v>
      </c>
      <c r="R7" s="282" t="s">
        <v>2</v>
      </c>
      <c r="S7" s="282" t="s">
        <v>141</v>
      </c>
      <c r="T7" s="282" t="s">
        <v>142</v>
      </c>
      <c r="U7" s="282" t="s">
        <v>164</v>
      </c>
      <c r="V7" s="282" t="s">
        <v>2</v>
      </c>
      <c r="W7" s="282" t="s">
        <v>141</v>
      </c>
      <c r="X7" s="282" t="s">
        <v>142</v>
      </c>
      <c r="Y7" s="282" t="s">
        <v>164</v>
      </c>
      <c r="Z7" s="282" t="s">
        <v>2</v>
      </c>
      <c r="AB7" s="330"/>
      <c r="AC7" s="136"/>
      <c r="AD7" s="331"/>
    </row>
    <row r="8" spans="1:30" ht="21" customHeight="1">
      <c r="A8" s="59">
        <v>1</v>
      </c>
      <c r="B8" s="44" t="s">
        <v>39</v>
      </c>
      <c r="C8" s="35">
        <v>8642</v>
      </c>
      <c r="D8" s="432">
        <v>1580</v>
      </c>
      <c r="E8" s="337">
        <v>0</v>
      </c>
      <c r="F8" s="35">
        <f>SUM(D8:E8)</f>
        <v>1580</v>
      </c>
      <c r="G8" s="35">
        <v>8215</v>
      </c>
      <c r="H8" s="35">
        <v>462</v>
      </c>
      <c r="I8" s="35">
        <v>0</v>
      </c>
      <c r="J8" s="35">
        <f>SUM(H8:I8)</f>
        <v>462</v>
      </c>
      <c r="K8" s="231">
        <v>8642</v>
      </c>
      <c r="L8" s="435">
        <v>2647</v>
      </c>
      <c r="M8" s="436">
        <v>0</v>
      </c>
      <c r="N8" s="35">
        <f>K8+L8+M8</f>
        <v>11289</v>
      </c>
      <c r="O8" s="231">
        <v>8642</v>
      </c>
      <c r="P8" s="435">
        <v>3026</v>
      </c>
      <c r="Q8" s="436">
        <v>0</v>
      </c>
      <c r="R8" s="35">
        <f>SUM(P8:Q8)</f>
        <v>3026</v>
      </c>
      <c r="S8" s="35">
        <f>O8-K8</f>
        <v>0</v>
      </c>
      <c r="T8" s="35">
        <f>P8-L8</f>
        <v>379</v>
      </c>
      <c r="U8" s="35">
        <f>Q8-M8</f>
        <v>0</v>
      </c>
      <c r="V8" s="35">
        <f>SUM(T8:U8)</f>
        <v>379</v>
      </c>
      <c r="W8" s="35">
        <f aca="true" t="shared" si="0" ref="W8:W33">O8-C8</f>
        <v>0</v>
      </c>
      <c r="X8" s="35">
        <f aca="true" t="shared" si="1" ref="X8:X33">P8-D8</f>
        <v>1446</v>
      </c>
      <c r="Y8" s="35">
        <f aca="true" t="shared" si="2" ref="Y8:Y33">Q8-E8</f>
        <v>0</v>
      </c>
      <c r="Z8" s="35">
        <f>SUM(X8:Y8)</f>
        <v>1446</v>
      </c>
      <c r="AB8" s="330"/>
      <c r="AC8" s="136"/>
      <c r="AD8" s="331"/>
    </row>
    <row r="9" spans="1:30" ht="21" customHeight="1">
      <c r="A9" s="60">
        <v>2</v>
      </c>
      <c r="B9" s="45" t="s">
        <v>65</v>
      </c>
      <c r="C9" s="33">
        <v>149888</v>
      </c>
      <c r="D9" s="433">
        <v>2115</v>
      </c>
      <c r="E9" s="340">
        <v>1079</v>
      </c>
      <c r="F9" s="33">
        <f aca="true" t="shared" si="3" ref="F9:F33">SUM(D9:E9)</f>
        <v>3194</v>
      </c>
      <c r="G9" s="33">
        <v>293570</v>
      </c>
      <c r="H9" s="33">
        <v>1435</v>
      </c>
      <c r="I9" s="33">
        <v>10020</v>
      </c>
      <c r="J9" s="33">
        <f aca="true" t="shared" si="4" ref="J9:J33">SUM(H9:I9)</f>
        <v>11455</v>
      </c>
      <c r="K9" s="232">
        <v>149888</v>
      </c>
      <c r="L9" s="437">
        <v>836</v>
      </c>
      <c r="M9" s="400">
        <v>2715</v>
      </c>
      <c r="N9" s="33">
        <f aca="true" t="shared" si="5" ref="N9:N33">K9+L9+M9</f>
        <v>153439</v>
      </c>
      <c r="O9" s="232">
        <v>149888</v>
      </c>
      <c r="P9" s="437">
        <v>718</v>
      </c>
      <c r="Q9" s="400">
        <v>2977</v>
      </c>
      <c r="R9" s="33">
        <f aca="true" t="shared" si="6" ref="R9:R33">SUM(P9:Q9)</f>
        <v>3695</v>
      </c>
      <c r="S9" s="33">
        <f aca="true" t="shared" si="7" ref="S9:S33">O9-K9</f>
        <v>0</v>
      </c>
      <c r="T9" s="33">
        <f aca="true" t="shared" si="8" ref="T9:T33">P9-L9</f>
        <v>-118</v>
      </c>
      <c r="U9" s="33">
        <f aca="true" t="shared" si="9" ref="U9:U33">Q9-M9</f>
        <v>262</v>
      </c>
      <c r="V9" s="33">
        <f aca="true" t="shared" si="10" ref="V9:V33">SUM(T9:U9)</f>
        <v>144</v>
      </c>
      <c r="W9" s="33">
        <f t="shared" si="0"/>
        <v>0</v>
      </c>
      <c r="X9" s="33">
        <f t="shared" si="1"/>
        <v>-1397</v>
      </c>
      <c r="Y9" s="33">
        <f t="shared" si="2"/>
        <v>1898</v>
      </c>
      <c r="Z9" s="33">
        <f aca="true" t="shared" si="11" ref="Z9:Z33">SUM(X9:Y9)</f>
        <v>501</v>
      </c>
      <c r="AB9" s="330"/>
      <c r="AC9" s="136"/>
      <c r="AD9" s="331"/>
    </row>
    <row r="10" spans="1:30" ht="21" customHeight="1">
      <c r="A10" s="61">
        <v>3</v>
      </c>
      <c r="B10" s="46" t="s">
        <v>3</v>
      </c>
      <c r="C10" s="34">
        <v>19869</v>
      </c>
      <c r="D10" s="434">
        <v>7382</v>
      </c>
      <c r="E10" s="345">
        <v>351</v>
      </c>
      <c r="F10" s="34">
        <f t="shared" si="3"/>
        <v>7733</v>
      </c>
      <c r="G10" s="34">
        <v>42935</v>
      </c>
      <c r="H10" s="34">
        <v>2185</v>
      </c>
      <c r="I10" s="34">
        <v>4520</v>
      </c>
      <c r="J10" s="34">
        <f t="shared" si="4"/>
        <v>6705</v>
      </c>
      <c r="K10" s="233">
        <v>19869</v>
      </c>
      <c r="L10" s="438">
        <v>7276</v>
      </c>
      <c r="M10" s="439">
        <v>2314</v>
      </c>
      <c r="N10" s="34">
        <f t="shared" si="5"/>
        <v>29459</v>
      </c>
      <c r="O10" s="233">
        <v>19869</v>
      </c>
      <c r="P10" s="438">
        <v>7276</v>
      </c>
      <c r="Q10" s="439">
        <v>2574</v>
      </c>
      <c r="R10" s="34">
        <f t="shared" si="6"/>
        <v>9850</v>
      </c>
      <c r="S10" s="34">
        <f t="shared" si="7"/>
        <v>0</v>
      </c>
      <c r="T10" s="34">
        <f t="shared" si="8"/>
        <v>0</v>
      </c>
      <c r="U10" s="34">
        <f t="shared" si="9"/>
        <v>260</v>
      </c>
      <c r="V10" s="34">
        <f t="shared" si="10"/>
        <v>260</v>
      </c>
      <c r="W10" s="34">
        <f t="shared" si="0"/>
        <v>0</v>
      </c>
      <c r="X10" s="34">
        <f t="shared" si="1"/>
        <v>-106</v>
      </c>
      <c r="Y10" s="34">
        <f t="shared" si="2"/>
        <v>2223</v>
      </c>
      <c r="Z10" s="34">
        <f t="shared" si="11"/>
        <v>2117</v>
      </c>
      <c r="AB10" s="330"/>
      <c r="AC10" s="136"/>
      <c r="AD10" s="331"/>
    </row>
    <row r="11" spans="1:30" ht="21" customHeight="1">
      <c r="A11" s="59">
        <v>4</v>
      </c>
      <c r="B11" s="44" t="s">
        <v>31</v>
      </c>
      <c r="C11" s="35">
        <v>113822</v>
      </c>
      <c r="D11" s="432">
        <v>2500</v>
      </c>
      <c r="E11" s="337">
        <v>326</v>
      </c>
      <c r="F11" s="35">
        <f t="shared" si="3"/>
        <v>2826</v>
      </c>
      <c r="G11" s="35">
        <v>143840</v>
      </c>
      <c r="H11" s="35">
        <v>2185</v>
      </c>
      <c r="I11" s="35">
        <v>12720</v>
      </c>
      <c r="J11" s="35">
        <f t="shared" si="4"/>
        <v>14905</v>
      </c>
      <c r="K11" s="231">
        <v>113822</v>
      </c>
      <c r="L11" s="435">
        <v>1009</v>
      </c>
      <c r="M11" s="436">
        <v>3367</v>
      </c>
      <c r="N11" s="35">
        <f t="shared" si="5"/>
        <v>118198</v>
      </c>
      <c r="O11" s="231">
        <v>113822</v>
      </c>
      <c r="P11" s="435">
        <v>1008</v>
      </c>
      <c r="Q11" s="436">
        <v>3246</v>
      </c>
      <c r="R11" s="35">
        <f t="shared" si="6"/>
        <v>4254</v>
      </c>
      <c r="S11" s="35">
        <f t="shared" si="7"/>
        <v>0</v>
      </c>
      <c r="T11" s="35">
        <f t="shared" si="8"/>
        <v>-1</v>
      </c>
      <c r="U11" s="35">
        <f t="shared" si="9"/>
        <v>-121</v>
      </c>
      <c r="V11" s="35">
        <f t="shared" si="10"/>
        <v>-122</v>
      </c>
      <c r="W11" s="35">
        <f t="shared" si="0"/>
        <v>0</v>
      </c>
      <c r="X11" s="35">
        <f t="shared" si="1"/>
        <v>-1492</v>
      </c>
      <c r="Y11" s="35">
        <f t="shared" si="2"/>
        <v>2920</v>
      </c>
      <c r="Z11" s="35">
        <f t="shared" si="11"/>
        <v>1428</v>
      </c>
      <c r="AB11" s="330"/>
      <c r="AC11" s="136"/>
      <c r="AD11" s="331"/>
    </row>
    <row r="12" spans="1:30" ht="21" customHeight="1">
      <c r="A12" s="60">
        <v>5</v>
      </c>
      <c r="B12" s="45" t="s">
        <v>5</v>
      </c>
      <c r="C12" s="33">
        <v>19348</v>
      </c>
      <c r="D12" s="433">
        <v>5061</v>
      </c>
      <c r="E12" s="340">
        <v>357</v>
      </c>
      <c r="F12" s="33">
        <f t="shared" si="3"/>
        <v>5418</v>
      </c>
      <c r="G12" s="33">
        <v>40610</v>
      </c>
      <c r="H12" s="33">
        <v>0</v>
      </c>
      <c r="I12" s="33">
        <v>7760</v>
      </c>
      <c r="J12" s="33">
        <f t="shared" si="4"/>
        <v>7760</v>
      </c>
      <c r="K12" s="232">
        <v>19348</v>
      </c>
      <c r="L12" s="437">
        <v>4052</v>
      </c>
      <c r="M12" s="400">
        <v>284</v>
      </c>
      <c r="N12" s="33">
        <f t="shared" si="5"/>
        <v>23684</v>
      </c>
      <c r="O12" s="232">
        <v>19348</v>
      </c>
      <c r="P12" s="437">
        <v>3976</v>
      </c>
      <c r="Q12" s="400">
        <v>288</v>
      </c>
      <c r="R12" s="33">
        <f t="shared" si="6"/>
        <v>4264</v>
      </c>
      <c r="S12" s="33">
        <f t="shared" si="7"/>
        <v>0</v>
      </c>
      <c r="T12" s="33">
        <f t="shared" si="8"/>
        <v>-76</v>
      </c>
      <c r="U12" s="33">
        <f t="shared" si="9"/>
        <v>4</v>
      </c>
      <c r="V12" s="33">
        <f t="shared" si="10"/>
        <v>-72</v>
      </c>
      <c r="W12" s="33">
        <f t="shared" si="0"/>
        <v>0</v>
      </c>
      <c r="X12" s="33">
        <f t="shared" si="1"/>
        <v>-1085</v>
      </c>
      <c r="Y12" s="33">
        <f t="shared" si="2"/>
        <v>-69</v>
      </c>
      <c r="Z12" s="33">
        <f t="shared" si="11"/>
        <v>-1154</v>
      </c>
      <c r="AB12" s="330"/>
      <c r="AC12" s="136"/>
      <c r="AD12" s="331"/>
    </row>
    <row r="13" spans="1:30" ht="21" customHeight="1">
      <c r="A13" s="61">
        <v>6</v>
      </c>
      <c r="B13" s="46" t="s">
        <v>32</v>
      </c>
      <c r="C13" s="34">
        <v>107801</v>
      </c>
      <c r="D13" s="434">
        <v>4998</v>
      </c>
      <c r="E13" s="345">
        <v>515</v>
      </c>
      <c r="F13" s="34">
        <f t="shared" si="3"/>
        <v>5513</v>
      </c>
      <c r="G13" s="34">
        <v>165230</v>
      </c>
      <c r="H13" s="34">
        <v>1530</v>
      </c>
      <c r="I13" s="34">
        <v>2500</v>
      </c>
      <c r="J13" s="34">
        <f t="shared" si="4"/>
        <v>4030</v>
      </c>
      <c r="K13" s="233">
        <v>107801</v>
      </c>
      <c r="L13" s="438">
        <v>3653</v>
      </c>
      <c r="M13" s="439">
        <v>91</v>
      </c>
      <c r="N13" s="34">
        <f t="shared" si="5"/>
        <v>111545</v>
      </c>
      <c r="O13" s="233">
        <v>107801</v>
      </c>
      <c r="P13" s="438">
        <v>3507</v>
      </c>
      <c r="Q13" s="439">
        <v>93</v>
      </c>
      <c r="R13" s="34">
        <f t="shared" si="6"/>
        <v>3600</v>
      </c>
      <c r="S13" s="34">
        <f t="shared" si="7"/>
        <v>0</v>
      </c>
      <c r="T13" s="34">
        <f t="shared" si="8"/>
        <v>-146</v>
      </c>
      <c r="U13" s="34">
        <f t="shared" si="9"/>
        <v>2</v>
      </c>
      <c r="V13" s="34">
        <f t="shared" si="10"/>
        <v>-144</v>
      </c>
      <c r="W13" s="34">
        <f t="shared" si="0"/>
        <v>0</v>
      </c>
      <c r="X13" s="34">
        <f t="shared" si="1"/>
        <v>-1491</v>
      </c>
      <c r="Y13" s="34">
        <f t="shared" si="2"/>
        <v>-422</v>
      </c>
      <c r="Z13" s="34">
        <f t="shared" si="11"/>
        <v>-1913</v>
      </c>
      <c r="AB13" s="330"/>
      <c r="AC13" s="136"/>
      <c r="AD13" s="331"/>
    </row>
    <row r="14" spans="1:30" ht="21" customHeight="1">
      <c r="A14" s="59">
        <v>7</v>
      </c>
      <c r="B14" s="44" t="s">
        <v>66</v>
      </c>
      <c r="C14" s="35">
        <v>142494</v>
      </c>
      <c r="D14" s="432">
        <v>1364</v>
      </c>
      <c r="E14" s="337">
        <v>995</v>
      </c>
      <c r="F14" s="35">
        <f t="shared" si="3"/>
        <v>2359</v>
      </c>
      <c r="G14" s="35">
        <v>86025</v>
      </c>
      <c r="H14" s="35">
        <v>1310</v>
      </c>
      <c r="I14" s="35">
        <v>2780</v>
      </c>
      <c r="J14" s="35">
        <f t="shared" si="4"/>
        <v>4090</v>
      </c>
      <c r="K14" s="231">
        <v>142494</v>
      </c>
      <c r="L14" s="435">
        <v>1405</v>
      </c>
      <c r="M14" s="436">
        <v>1168</v>
      </c>
      <c r="N14" s="35">
        <f t="shared" si="5"/>
        <v>145067</v>
      </c>
      <c r="O14" s="231">
        <v>142494</v>
      </c>
      <c r="P14" s="435">
        <v>1415</v>
      </c>
      <c r="Q14" s="436">
        <v>1207</v>
      </c>
      <c r="R14" s="35">
        <f t="shared" si="6"/>
        <v>2622</v>
      </c>
      <c r="S14" s="35">
        <f t="shared" si="7"/>
        <v>0</v>
      </c>
      <c r="T14" s="35">
        <f t="shared" si="8"/>
        <v>10</v>
      </c>
      <c r="U14" s="35">
        <f t="shared" si="9"/>
        <v>39</v>
      </c>
      <c r="V14" s="35">
        <f t="shared" si="10"/>
        <v>49</v>
      </c>
      <c r="W14" s="35">
        <f t="shared" si="0"/>
        <v>0</v>
      </c>
      <c r="X14" s="35">
        <f t="shared" si="1"/>
        <v>51</v>
      </c>
      <c r="Y14" s="35">
        <f t="shared" si="2"/>
        <v>212</v>
      </c>
      <c r="Z14" s="35">
        <f t="shared" si="11"/>
        <v>263</v>
      </c>
      <c r="AB14" s="330"/>
      <c r="AC14" s="136"/>
      <c r="AD14" s="331"/>
    </row>
    <row r="15" spans="1:30" ht="21" customHeight="1">
      <c r="A15" s="60">
        <v>8</v>
      </c>
      <c r="B15" s="45" t="s">
        <v>67</v>
      </c>
      <c r="C15" s="33">
        <v>35240</v>
      </c>
      <c r="D15" s="433">
        <v>1678</v>
      </c>
      <c r="E15" s="340">
        <v>225</v>
      </c>
      <c r="F15" s="33">
        <f t="shared" si="3"/>
        <v>1903</v>
      </c>
      <c r="G15" s="33">
        <v>46965</v>
      </c>
      <c r="H15" s="33">
        <v>1605</v>
      </c>
      <c r="I15" s="33">
        <v>1860</v>
      </c>
      <c r="J15" s="33">
        <f t="shared" si="4"/>
        <v>3465</v>
      </c>
      <c r="K15" s="232">
        <v>35240</v>
      </c>
      <c r="L15" s="437">
        <v>1510</v>
      </c>
      <c r="M15" s="400">
        <v>1628</v>
      </c>
      <c r="N15" s="33">
        <f t="shared" si="5"/>
        <v>38378</v>
      </c>
      <c r="O15" s="232">
        <v>35240</v>
      </c>
      <c r="P15" s="437">
        <v>1522</v>
      </c>
      <c r="Q15" s="400">
        <v>1840</v>
      </c>
      <c r="R15" s="33">
        <f t="shared" si="6"/>
        <v>3362</v>
      </c>
      <c r="S15" s="33">
        <f t="shared" si="7"/>
        <v>0</v>
      </c>
      <c r="T15" s="33">
        <f t="shared" si="8"/>
        <v>12</v>
      </c>
      <c r="U15" s="33">
        <f t="shared" si="9"/>
        <v>212</v>
      </c>
      <c r="V15" s="33">
        <f t="shared" si="10"/>
        <v>224</v>
      </c>
      <c r="W15" s="33">
        <f t="shared" si="0"/>
        <v>0</v>
      </c>
      <c r="X15" s="33">
        <f t="shared" si="1"/>
        <v>-156</v>
      </c>
      <c r="Y15" s="33">
        <f t="shared" si="2"/>
        <v>1615</v>
      </c>
      <c r="Z15" s="33">
        <f t="shared" si="11"/>
        <v>1459</v>
      </c>
      <c r="AB15" s="330"/>
      <c r="AC15" s="136"/>
      <c r="AD15" s="331"/>
    </row>
    <row r="16" spans="1:30" ht="21" customHeight="1">
      <c r="A16" s="61">
        <v>9</v>
      </c>
      <c r="B16" s="46" t="s">
        <v>33</v>
      </c>
      <c r="C16" s="34">
        <v>652</v>
      </c>
      <c r="D16" s="434">
        <v>4341</v>
      </c>
      <c r="E16" s="345">
        <v>1</v>
      </c>
      <c r="F16" s="34">
        <f t="shared" si="3"/>
        <v>4342</v>
      </c>
      <c r="G16" s="34">
        <v>48050</v>
      </c>
      <c r="H16" s="34">
        <v>1375</v>
      </c>
      <c r="I16" s="34">
        <v>2160</v>
      </c>
      <c r="J16" s="34">
        <f t="shared" si="4"/>
        <v>3535</v>
      </c>
      <c r="K16" s="233">
        <v>652</v>
      </c>
      <c r="L16" s="438">
        <v>3875</v>
      </c>
      <c r="M16" s="439">
        <v>883</v>
      </c>
      <c r="N16" s="34">
        <f t="shared" si="5"/>
        <v>5410</v>
      </c>
      <c r="O16" s="233">
        <v>652</v>
      </c>
      <c r="P16" s="438">
        <v>3906</v>
      </c>
      <c r="Q16" s="439">
        <v>1138</v>
      </c>
      <c r="R16" s="34">
        <f t="shared" si="6"/>
        <v>5044</v>
      </c>
      <c r="S16" s="34">
        <f t="shared" si="7"/>
        <v>0</v>
      </c>
      <c r="T16" s="34">
        <f t="shared" si="8"/>
        <v>31</v>
      </c>
      <c r="U16" s="34">
        <f t="shared" si="9"/>
        <v>255</v>
      </c>
      <c r="V16" s="34">
        <f t="shared" si="10"/>
        <v>286</v>
      </c>
      <c r="W16" s="34">
        <f t="shared" si="0"/>
        <v>0</v>
      </c>
      <c r="X16" s="34">
        <f t="shared" si="1"/>
        <v>-435</v>
      </c>
      <c r="Y16" s="34">
        <f t="shared" si="2"/>
        <v>1137</v>
      </c>
      <c r="Z16" s="34">
        <f t="shared" si="11"/>
        <v>702</v>
      </c>
      <c r="AB16" s="330"/>
      <c r="AC16" s="136"/>
      <c r="AD16" s="331"/>
    </row>
    <row r="17" spans="1:30" ht="21" customHeight="1">
      <c r="A17" s="59">
        <v>10</v>
      </c>
      <c r="B17" s="44" t="s">
        <v>6</v>
      </c>
      <c r="C17" s="35">
        <v>57579</v>
      </c>
      <c r="D17" s="432">
        <v>2297</v>
      </c>
      <c r="E17" s="337">
        <v>654</v>
      </c>
      <c r="F17" s="35">
        <f t="shared" si="3"/>
        <v>2951</v>
      </c>
      <c r="G17" s="35">
        <v>54560</v>
      </c>
      <c r="H17" s="35">
        <v>435</v>
      </c>
      <c r="I17" s="35">
        <v>10540</v>
      </c>
      <c r="J17" s="35">
        <f t="shared" si="4"/>
        <v>10975</v>
      </c>
      <c r="K17" s="231">
        <v>57579</v>
      </c>
      <c r="L17" s="435">
        <v>2568</v>
      </c>
      <c r="M17" s="436">
        <v>1470</v>
      </c>
      <c r="N17" s="35">
        <f t="shared" si="5"/>
        <v>61617</v>
      </c>
      <c r="O17" s="231">
        <v>57579</v>
      </c>
      <c r="P17" s="435">
        <v>2600</v>
      </c>
      <c r="Q17" s="436">
        <v>1397</v>
      </c>
      <c r="R17" s="35">
        <f t="shared" si="6"/>
        <v>3997</v>
      </c>
      <c r="S17" s="35">
        <f t="shared" si="7"/>
        <v>0</v>
      </c>
      <c r="T17" s="35">
        <f t="shared" si="8"/>
        <v>32</v>
      </c>
      <c r="U17" s="35">
        <f t="shared" si="9"/>
        <v>-73</v>
      </c>
      <c r="V17" s="35">
        <f t="shared" si="10"/>
        <v>-41</v>
      </c>
      <c r="W17" s="35">
        <f t="shared" si="0"/>
        <v>0</v>
      </c>
      <c r="X17" s="35">
        <f t="shared" si="1"/>
        <v>303</v>
      </c>
      <c r="Y17" s="35">
        <f t="shared" si="2"/>
        <v>743</v>
      </c>
      <c r="Z17" s="35">
        <f t="shared" si="11"/>
        <v>1046</v>
      </c>
      <c r="AB17" s="330"/>
      <c r="AC17" s="136"/>
      <c r="AD17" s="331"/>
    </row>
    <row r="18" spans="1:30" ht="21" customHeight="1">
      <c r="A18" s="60">
        <v>11</v>
      </c>
      <c r="B18" s="45" t="s">
        <v>34</v>
      </c>
      <c r="C18" s="33">
        <v>160042</v>
      </c>
      <c r="D18" s="433">
        <v>7252</v>
      </c>
      <c r="E18" s="340">
        <v>957</v>
      </c>
      <c r="F18" s="33">
        <f t="shared" si="3"/>
        <v>8209</v>
      </c>
      <c r="G18" s="33">
        <v>184760</v>
      </c>
      <c r="H18" s="33">
        <v>650</v>
      </c>
      <c r="I18" s="33">
        <v>3400</v>
      </c>
      <c r="J18" s="33">
        <f t="shared" si="4"/>
        <v>4050</v>
      </c>
      <c r="K18" s="232">
        <v>160042</v>
      </c>
      <c r="L18" s="437">
        <v>5721</v>
      </c>
      <c r="M18" s="400">
        <v>2651</v>
      </c>
      <c r="N18" s="33">
        <f t="shared" si="5"/>
        <v>168414</v>
      </c>
      <c r="O18" s="232">
        <v>160042</v>
      </c>
      <c r="P18" s="437">
        <v>5539</v>
      </c>
      <c r="Q18" s="400">
        <v>2704</v>
      </c>
      <c r="R18" s="33">
        <f t="shared" si="6"/>
        <v>8243</v>
      </c>
      <c r="S18" s="33">
        <f t="shared" si="7"/>
        <v>0</v>
      </c>
      <c r="T18" s="33">
        <f t="shared" si="8"/>
        <v>-182</v>
      </c>
      <c r="U18" s="33">
        <f t="shared" si="9"/>
        <v>53</v>
      </c>
      <c r="V18" s="33">
        <f t="shared" si="10"/>
        <v>-129</v>
      </c>
      <c r="W18" s="33">
        <f t="shared" si="0"/>
        <v>0</v>
      </c>
      <c r="X18" s="33">
        <f t="shared" si="1"/>
        <v>-1713</v>
      </c>
      <c r="Y18" s="33">
        <f t="shared" si="2"/>
        <v>1747</v>
      </c>
      <c r="Z18" s="33">
        <f t="shared" si="11"/>
        <v>34</v>
      </c>
      <c r="AB18" s="330"/>
      <c r="AC18" s="136"/>
      <c r="AD18" s="331"/>
    </row>
    <row r="19" spans="1:30" ht="21" customHeight="1">
      <c r="A19" s="61">
        <v>12</v>
      </c>
      <c r="B19" s="46" t="s">
        <v>35</v>
      </c>
      <c r="C19" s="34">
        <v>113530</v>
      </c>
      <c r="D19" s="434">
        <v>6081</v>
      </c>
      <c r="E19" s="345">
        <v>8913</v>
      </c>
      <c r="F19" s="34">
        <f t="shared" si="3"/>
        <v>14994</v>
      </c>
      <c r="G19" s="34">
        <v>161665</v>
      </c>
      <c r="H19" s="34">
        <v>7435</v>
      </c>
      <c r="I19" s="34">
        <v>36000</v>
      </c>
      <c r="J19" s="34">
        <f t="shared" si="4"/>
        <v>43435</v>
      </c>
      <c r="K19" s="233">
        <v>113530</v>
      </c>
      <c r="L19" s="438">
        <v>6785</v>
      </c>
      <c r="M19" s="439">
        <v>13819</v>
      </c>
      <c r="N19" s="34">
        <f t="shared" si="5"/>
        <v>134134</v>
      </c>
      <c r="O19" s="233">
        <v>113530</v>
      </c>
      <c r="P19" s="438">
        <v>6868</v>
      </c>
      <c r="Q19" s="439">
        <v>14746</v>
      </c>
      <c r="R19" s="34">
        <f t="shared" si="6"/>
        <v>21614</v>
      </c>
      <c r="S19" s="34">
        <f t="shared" si="7"/>
        <v>0</v>
      </c>
      <c r="T19" s="34">
        <f t="shared" si="8"/>
        <v>83</v>
      </c>
      <c r="U19" s="34">
        <f t="shared" si="9"/>
        <v>927</v>
      </c>
      <c r="V19" s="34">
        <f t="shared" si="10"/>
        <v>1010</v>
      </c>
      <c r="W19" s="34">
        <f t="shared" si="0"/>
        <v>0</v>
      </c>
      <c r="X19" s="34">
        <f t="shared" si="1"/>
        <v>787</v>
      </c>
      <c r="Y19" s="34">
        <f t="shared" si="2"/>
        <v>5833</v>
      </c>
      <c r="Z19" s="34">
        <f t="shared" si="11"/>
        <v>6620</v>
      </c>
      <c r="AB19" s="330"/>
      <c r="AC19" s="136"/>
      <c r="AD19" s="331"/>
    </row>
    <row r="20" spans="1:30" ht="21" customHeight="1">
      <c r="A20" s="59">
        <v>13</v>
      </c>
      <c r="B20" s="44" t="s">
        <v>68</v>
      </c>
      <c r="C20" s="35">
        <v>36020</v>
      </c>
      <c r="D20" s="432">
        <v>8092</v>
      </c>
      <c r="E20" s="346">
        <v>1049</v>
      </c>
      <c r="F20" s="35">
        <f t="shared" si="3"/>
        <v>9141</v>
      </c>
      <c r="G20" s="35">
        <v>101370</v>
      </c>
      <c r="H20" s="35">
        <v>3435</v>
      </c>
      <c r="I20" s="35">
        <v>17240</v>
      </c>
      <c r="J20" s="35">
        <f t="shared" si="4"/>
        <v>20675</v>
      </c>
      <c r="K20" s="231">
        <v>36020</v>
      </c>
      <c r="L20" s="435">
        <v>6616</v>
      </c>
      <c r="M20" s="436">
        <v>1132</v>
      </c>
      <c r="N20" s="35">
        <f t="shared" si="5"/>
        <v>43768</v>
      </c>
      <c r="O20" s="231">
        <v>36020</v>
      </c>
      <c r="P20" s="435">
        <v>6744</v>
      </c>
      <c r="Q20" s="436">
        <v>1155</v>
      </c>
      <c r="R20" s="35">
        <f t="shared" si="6"/>
        <v>7899</v>
      </c>
      <c r="S20" s="35">
        <f t="shared" si="7"/>
        <v>0</v>
      </c>
      <c r="T20" s="35">
        <f t="shared" si="8"/>
        <v>128</v>
      </c>
      <c r="U20" s="35">
        <f t="shared" si="9"/>
        <v>23</v>
      </c>
      <c r="V20" s="35">
        <f t="shared" si="10"/>
        <v>151</v>
      </c>
      <c r="W20" s="35">
        <f t="shared" si="0"/>
        <v>0</v>
      </c>
      <c r="X20" s="35">
        <f t="shared" si="1"/>
        <v>-1348</v>
      </c>
      <c r="Y20" s="35">
        <f t="shared" si="2"/>
        <v>106</v>
      </c>
      <c r="Z20" s="35">
        <f t="shared" si="11"/>
        <v>-1242</v>
      </c>
      <c r="AB20" s="330"/>
      <c r="AC20" s="136"/>
      <c r="AD20" s="331"/>
    </row>
    <row r="21" spans="1:30" ht="21" customHeight="1">
      <c r="A21" s="60">
        <v>14</v>
      </c>
      <c r="B21" s="45" t="s">
        <v>36</v>
      </c>
      <c r="C21" s="33">
        <v>217609</v>
      </c>
      <c r="D21" s="433">
        <v>4598</v>
      </c>
      <c r="E21" s="347">
        <v>370</v>
      </c>
      <c r="F21" s="33">
        <f t="shared" si="3"/>
        <v>4968</v>
      </c>
      <c r="G21" s="33">
        <v>267220</v>
      </c>
      <c r="H21" s="33">
        <v>1515</v>
      </c>
      <c r="I21" s="33">
        <v>12640</v>
      </c>
      <c r="J21" s="33">
        <f t="shared" si="4"/>
        <v>14155</v>
      </c>
      <c r="K21" s="232">
        <v>217609</v>
      </c>
      <c r="L21" s="437">
        <v>4447</v>
      </c>
      <c r="M21" s="400">
        <v>55</v>
      </c>
      <c r="N21" s="33">
        <f t="shared" si="5"/>
        <v>222111</v>
      </c>
      <c r="O21" s="232">
        <v>217609</v>
      </c>
      <c r="P21" s="437">
        <v>4645</v>
      </c>
      <c r="Q21" s="400">
        <v>57</v>
      </c>
      <c r="R21" s="33">
        <f t="shared" si="6"/>
        <v>4702</v>
      </c>
      <c r="S21" s="33">
        <f t="shared" si="7"/>
        <v>0</v>
      </c>
      <c r="T21" s="33">
        <f t="shared" si="8"/>
        <v>198</v>
      </c>
      <c r="U21" s="33">
        <f t="shared" si="9"/>
        <v>2</v>
      </c>
      <c r="V21" s="33">
        <f t="shared" si="10"/>
        <v>200</v>
      </c>
      <c r="W21" s="33">
        <f t="shared" si="0"/>
        <v>0</v>
      </c>
      <c r="X21" s="33">
        <f t="shared" si="1"/>
        <v>47</v>
      </c>
      <c r="Y21" s="33">
        <f t="shared" si="2"/>
        <v>-313</v>
      </c>
      <c r="Z21" s="33">
        <f t="shared" si="11"/>
        <v>-266</v>
      </c>
      <c r="AB21" s="330"/>
      <c r="AC21" s="136"/>
      <c r="AD21" s="331"/>
    </row>
    <row r="22" spans="1:30" ht="21" customHeight="1">
      <c r="A22" s="61">
        <v>15</v>
      </c>
      <c r="B22" s="46" t="s">
        <v>13</v>
      </c>
      <c r="C22" s="34">
        <v>11673</v>
      </c>
      <c r="D22" s="434">
        <v>2663</v>
      </c>
      <c r="E22" s="347">
        <v>300</v>
      </c>
      <c r="F22" s="34">
        <f t="shared" si="3"/>
        <v>2963</v>
      </c>
      <c r="G22" s="34">
        <v>15035</v>
      </c>
      <c r="H22" s="34">
        <v>1090</v>
      </c>
      <c r="I22" s="34">
        <v>2220</v>
      </c>
      <c r="J22" s="34">
        <f>SUM(H22:I22)</f>
        <v>3310</v>
      </c>
      <c r="K22" s="233">
        <v>11673</v>
      </c>
      <c r="L22" s="438">
        <v>3155</v>
      </c>
      <c r="M22" s="439">
        <v>1730</v>
      </c>
      <c r="N22" s="34">
        <f t="shared" si="5"/>
        <v>16558</v>
      </c>
      <c r="O22" s="233">
        <v>11673</v>
      </c>
      <c r="P22" s="438">
        <v>3346</v>
      </c>
      <c r="Q22" s="439">
        <v>1749</v>
      </c>
      <c r="R22" s="34">
        <f t="shared" si="6"/>
        <v>5095</v>
      </c>
      <c r="S22" s="34">
        <f t="shared" si="7"/>
        <v>0</v>
      </c>
      <c r="T22" s="34">
        <f t="shared" si="8"/>
        <v>191</v>
      </c>
      <c r="U22" s="34">
        <f t="shared" si="9"/>
        <v>19</v>
      </c>
      <c r="V22" s="34">
        <f t="shared" si="10"/>
        <v>210</v>
      </c>
      <c r="W22" s="34">
        <f t="shared" si="0"/>
        <v>0</v>
      </c>
      <c r="X22" s="34">
        <f t="shared" si="1"/>
        <v>683</v>
      </c>
      <c r="Y22" s="34">
        <f t="shared" si="2"/>
        <v>1449</v>
      </c>
      <c r="Z22" s="34">
        <f t="shared" si="11"/>
        <v>2132</v>
      </c>
      <c r="AB22" s="330"/>
      <c r="AC22" s="136"/>
      <c r="AD22" s="331"/>
    </row>
    <row r="23" spans="1:30" ht="21" customHeight="1">
      <c r="A23" s="60">
        <v>16</v>
      </c>
      <c r="B23" s="45" t="s">
        <v>12</v>
      </c>
      <c r="C23" s="35">
        <v>19044</v>
      </c>
      <c r="D23" s="432">
        <v>3487</v>
      </c>
      <c r="E23" s="347">
        <v>56</v>
      </c>
      <c r="F23" s="35">
        <f t="shared" si="3"/>
        <v>3543</v>
      </c>
      <c r="G23" s="35">
        <v>17980</v>
      </c>
      <c r="H23" s="35">
        <v>3500</v>
      </c>
      <c r="I23" s="35">
        <v>2360</v>
      </c>
      <c r="J23" s="35">
        <f>SUM(H23:I23)</f>
        <v>5860</v>
      </c>
      <c r="K23" s="231">
        <v>19044</v>
      </c>
      <c r="L23" s="435">
        <v>3748</v>
      </c>
      <c r="M23" s="436">
        <v>860</v>
      </c>
      <c r="N23" s="35">
        <f t="shared" si="5"/>
        <v>23652</v>
      </c>
      <c r="O23" s="231">
        <v>19044</v>
      </c>
      <c r="P23" s="435">
        <v>3816</v>
      </c>
      <c r="Q23" s="436">
        <v>1061</v>
      </c>
      <c r="R23" s="35">
        <f t="shared" si="6"/>
        <v>4877</v>
      </c>
      <c r="S23" s="35">
        <f t="shared" si="7"/>
        <v>0</v>
      </c>
      <c r="T23" s="35">
        <f t="shared" si="8"/>
        <v>68</v>
      </c>
      <c r="U23" s="35">
        <f t="shared" si="9"/>
        <v>201</v>
      </c>
      <c r="V23" s="35">
        <f t="shared" si="10"/>
        <v>269</v>
      </c>
      <c r="W23" s="35">
        <f t="shared" si="0"/>
        <v>0</v>
      </c>
      <c r="X23" s="35">
        <f t="shared" si="1"/>
        <v>329</v>
      </c>
      <c r="Y23" s="35">
        <f t="shared" si="2"/>
        <v>1005</v>
      </c>
      <c r="Z23" s="35">
        <f t="shared" si="11"/>
        <v>1334</v>
      </c>
      <c r="AB23" s="330"/>
      <c r="AC23" s="136"/>
      <c r="AD23" s="331"/>
    </row>
    <row r="24" spans="1:30" ht="21" customHeight="1">
      <c r="A24" s="60">
        <v>17</v>
      </c>
      <c r="B24" s="45" t="s">
        <v>69</v>
      </c>
      <c r="C24" s="33">
        <v>92181</v>
      </c>
      <c r="D24" s="433">
        <v>3968</v>
      </c>
      <c r="E24" s="347">
        <v>257</v>
      </c>
      <c r="F24" s="33">
        <f t="shared" si="3"/>
        <v>4225</v>
      </c>
      <c r="G24" s="33">
        <v>142600</v>
      </c>
      <c r="H24" s="33">
        <v>1310</v>
      </c>
      <c r="I24" s="33">
        <v>12900</v>
      </c>
      <c r="J24" s="33">
        <f t="shared" si="4"/>
        <v>14210</v>
      </c>
      <c r="K24" s="232">
        <v>92181</v>
      </c>
      <c r="L24" s="437">
        <v>3235</v>
      </c>
      <c r="M24" s="400">
        <v>6481</v>
      </c>
      <c r="N24" s="33">
        <f t="shared" si="5"/>
        <v>101897</v>
      </c>
      <c r="O24" s="232">
        <v>92181</v>
      </c>
      <c r="P24" s="437">
        <v>3260</v>
      </c>
      <c r="Q24" s="400">
        <v>6641</v>
      </c>
      <c r="R24" s="33">
        <f t="shared" si="6"/>
        <v>9901</v>
      </c>
      <c r="S24" s="33">
        <f t="shared" si="7"/>
        <v>0</v>
      </c>
      <c r="T24" s="33">
        <f t="shared" si="8"/>
        <v>25</v>
      </c>
      <c r="U24" s="33">
        <f t="shared" si="9"/>
        <v>160</v>
      </c>
      <c r="V24" s="33">
        <f t="shared" si="10"/>
        <v>185</v>
      </c>
      <c r="W24" s="33">
        <f t="shared" si="0"/>
        <v>0</v>
      </c>
      <c r="X24" s="33">
        <f t="shared" si="1"/>
        <v>-708</v>
      </c>
      <c r="Y24" s="33">
        <f t="shared" si="2"/>
        <v>6384</v>
      </c>
      <c r="Z24" s="33">
        <f t="shared" si="11"/>
        <v>5676</v>
      </c>
      <c r="AB24" s="330"/>
      <c r="AC24" s="136"/>
      <c r="AD24" s="331"/>
    </row>
    <row r="25" spans="1:30" ht="21" customHeight="1">
      <c r="A25" s="61">
        <v>18</v>
      </c>
      <c r="B25" s="46" t="s">
        <v>37</v>
      </c>
      <c r="C25" s="34">
        <v>213508</v>
      </c>
      <c r="D25" s="434">
        <v>1433</v>
      </c>
      <c r="E25" s="347">
        <v>10042</v>
      </c>
      <c r="F25" s="34">
        <f t="shared" si="3"/>
        <v>11475</v>
      </c>
      <c r="G25" s="34">
        <v>121055</v>
      </c>
      <c r="H25" s="34">
        <v>2185</v>
      </c>
      <c r="I25" s="34">
        <v>28900</v>
      </c>
      <c r="J25" s="34">
        <f t="shared" si="4"/>
        <v>31085</v>
      </c>
      <c r="K25" s="233">
        <v>213508</v>
      </c>
      <c r="L25" s="438">
        <v>959</v>
      </c>
      <c r="M25" s="439">
        <v>13199</v>
      </c>
      <c r="N25" s="34">
        <f t="shared" si="5"/>
        <v>227666</v>
      </c>
      <c r="O25" s="233">
        <v>213508</v>
      </c>
      <c r="P25" s="438">
        <v>922</v>
      </c>
      <c r="Q25" s="439">
        <v>13914</v>
      </c>
      <c r="R25" s="34">
        <f t="shared" si="6"/>
        <v>14836</v>
      </c>
      <c r="S25" s="34">
        <f t="shared" si="7"/>
        <v>0</v>
      </c>
      <c r="T25" s="34">
        <f t="shared" si="8"/>
        <v>-37</v>
      </c>
      <c r="U25" s="34">
        <f t="shared" si="9"/>
        <v>715</v>
      </c>
      <c r="V25" s="34">
        <f t="shared" si="10"/>
        <v>678</v>
      </c>
      <c r="W25" s="34">
        <f t="shared" si="0"/>
        <v>0</v>
      </c>
      <c r="X25" s="34">
        <f t="shared" si="1"/>
        <v>-511</v>
      </c>
      <c r="Y25" s="34">
        <f t="shared" si="2"/>
        <v>3872</v>
      </c>
      <c r="Z25" s="34">
        <f t="shared" si="11"/>
        <v>3361</v>
      </c>
      <c r="AB25" s="330"/>
      <c r="AC25" s="136"/>
      <c r="AD25" s="331"/>
    </row>
    <row r="26" spans="1:30" ht="21" customHeight="1">
      <c r="A26" s="59">
        <v>19</v>
      </c>
      <c r="B26" s="44" t="s">
        <v>70</v>
      </c>
      <c r="C26" s="35">
        <v>149541</v>
      </c>
      <c r="D26" s="432">
        <v>5320</v>
      </c>
      <c r="E26" s="347">
        <v>235</v>
      </c>
      <c r="F26" s="35">
        <f t="shared" si="3"/>
        <v>5555</v>
      </c>
      <c r="G26" s="35">
        <v>144925</v>
      </c>
      <c r="H26" s="35">
        <v>3435</v>
      </c>
      <c r="I26" s="35">
        <v>16320</v>
      </c>
      <c r="J26" s="35">
        <f t="shared" si="4"/>
        <v>19755</v>
      </c>
      <c r="K26" s="231">
        <v>149541</v>
      </c>
      <c r="L26" s="435">
        <v>5278</v>
      </c>
      <c r="M26" s="436">
        <v>124</v>
      </c>
      <c r="N26" s="35">
        <f t="shared" si="5"/>
        <v>154943</v>
      </c>
      <c r="O26" s="231">
        <v>149541</v>
      </c>
      <c r="P26" s="435">
        <v>5171</v>
      </c>
      <c r="Q26" s="436">
        <v>132</v>
      </c>
      <c r="R26" s="35">
        <f t="shared" si="6"/>
        <v>5303</v>
      </c>
      <c r="S26" s="35">
        <f t="shared" si="7"/>
        <v>0</v>
      </c>
      <c r="T26" s="35">
        <f t="shared" si="8"/>
        <v>-107</v>
      </c>
      <c r="U26" s="35">
        <f t="shared" si="9"/>
        <v>8</v>
      </c>
      <c r="V26" s="35">
        <f t="shared" si="10"/>
        <v>-99</v>
      </c>
      <c r="W26" s="35">
        <f t="shared" si="0"/>
        <v>0</v>
      </c>
      <c r="X26" s="35">
        <f t="shared" si="1"/>
        <v>-149</v>
      </c>
      <c r="Y26" s="35">
        <f t="shared" si="2"/>
        <v>-103</v>
      </c>
      <c r="Z26" s="35">
        <f t="shared" si="11"/>
        <v>-252</v>
      </c>
      <c r="AB26" s="330"/>
      <c r="AC26" s="136"/>
      <c r="AD26" s="331"/>
    </row>
    <row r="27" spans="1:30" ht="21" customHeight="1">
      <c r="A27" s="60">
        <v>20</v>
      </c>
      <c r="B27" s="45" t="s">
        <v>71</v>
      </c>
      <c r="C27" s="33">
        <v>176785</v>
      </c>
      <c r="D27" s="433">
        <v>6048</v>
      </c>
      <c r="E27" s="347">
        <v>3226</v>
      </c>
      <c r="F27" s="33">
        <f t="shared" si="3"/>
        <v>9274</v>
      </c>
      <c r="G27" s="33">
        <v>295895</v>
      </c>
      <c r="H27" s="33">
        <v>1500</v>
      </c>
      <c r="I27" s="33">
        <v>4460</v>
      </c>
      <c r="J27" s="33">
        <f t="shared" si="4"/>
        <v>5960</v>
      </c>
      <c r="K27" s="232">
        <v>176785</v>
      </c>
      <c r="L27" s="437">
        <v>5543</v>
      </c>
      <c r="M27" s="400">
        <v>9304</v>
      </c>
      <c r="N27" s="33">
        <f t="shared" si="5"/>
        <v>191632</v>
      </c>
      <c r="O27" s="232">
        <v>176785</v>
      </c>
      <c r="P27" s="437">
        <v>5606</v>
      </c>
      <c r="Q27" s="400">
        <v>9475</v>
      </c>
      <c r="R27" s="33">
        <f t="shared" si="6"/>
        <v>15081</v>
      </c>
      <c r="S27" s="33">
        <f t="shared" si="7"/>
        <v>0</v>
      </c>
      <c r="T27" s="33">
        <f t="shared" si="8"/>
        <v>63</v>
      </c>
      <c r="U27" s="33">
        <f t="shared" si="9"/>
        <v>171</v>
      </c>
      <c r="V27" s="33">
        <f t="shared" si="10"/>
        <v>234</v>
      </c>
      <c r="W27" s="33">
        <f t="shared" si="0"/>
        <v>0</v>
      </c>
      <c r="X27" s="33">
        <f t="shared" si="1"/>
        <v>-442</v>
      </c>
      <c r="Y27" s="33">
        <f t="shared" si="2"/>
        <v>6249</v>
      </c>
      <c r="Z27" s="33">
        <f t="shared" si="11"/>
        <v>5807</v>
      </c>
      <c r="AB27" s="330"/>
      <c r="AC27" s="136"/>
      <c r="AD27" s="331"/>
    </row>
    <row r="28" spans="1:30" ht="21" customHeight="1">
      <c r="A28" s="61">
        <v>21</v>
      </c>
      <c r="B28" s="46" t="s">
        <v>72</v>
      </c>
      <c r="C28" s="34">
        <v>30947</v>
      </c>
      <c r="D28" s="434">
        <v>2363</v>
      </c>
      <c r="E28" s="345">
        <v>718</v>
      </c>
      <c r="F28" s="34">
        <f t="shared" si="3"/>
        <v>3081</v>
      </c>
      <c r="G28" s="34">
        <v>47585</v>
      </c>
      <c r="H28" s="34">
        <v>435</v>
      </c>
      <c r="I28" s="34">
        <v>2400</v>
      </c>
      <c r="J28" s="34">
        <f t="shared" si="4"/>
        <v>2835</v>
      </c>
      <c r="K28" s="233">
        <v>30947</v>
      </c>
      <c r="L28" s="438">
        <v>2324</v>
      </c>
      <c r="M28" s="439">
        <v>1445</v>
      </c>
      <c r="N28" s="34">
        <f t="shared" si="5"/>
        <v>34716</v>
      </c>
      <c r="O28" s="233">
        <v>30947</v>
      </c>
      <c r="P28" s="438">
        <v>2304</v>
      </c>
      <c r="Q28" s="439">
        <v>1535</v>
      </c>
      <c r="R28" s="34">
        <f t="shared" si="6"/>
        <v>3839</v>
      </c>
      <c r="S28" s="34">
        <f t="shared" si="7"/>
        <v>0</v>
      </c>
      <c r="T28" s="34">
        <f t="shared" si="8"/>
        <v>-20</v>
      </c>
      <c r="U28" s="34">
        <f t="shared" si="9"/>
        <v>90</v>
      </c>
      <c r="V28" s="34">
        <f t="shared" si="10"/>
        <v>70</v>
      </c>
      <c r="W28" s="34">
        <f t="shared" si="0"/>
        <v>0</v>
      </c>
      <c r="X28" s="34">
        <f t="shared" si="1"/>
        <v>-59</v>
      </c>
      <c r="Y28" s="34">
        <f t="shared" si="2"/>
        <v>817</v>
      </c>
      <c r="Z28" s="34">
        <f t="shared" si="11"/>
        <v>758</v>
      </c>
      <c r="AB28" s="331"/>
      <c r="AC28" s="136"/>
      <c r="AD28" s="136"/>
    </row>
    <row r="29" spans="1:26" ht="21" customHeight="1">
      <c r="A29" s="59">
        <v>22</v>
      </c>
      <c r="B29" s="44" t="s">
        <v>7</v>
      </c>
      <c r="C29" s="35">
        <v>276317</v>
      </c>
      <c r="D29" s="432">
        <v>3467</v>
      </c>
      <c r="E29" s="337">
        <v>2456</v>
      </c>
      <c r="F29" s="35">
        <f t="shared" si="3"/>
        <v>5923</v>
      </c>
      <c r="G29" s="35">
        <v>284735</v>
      </c>
      <c r="H29" s="35">
        <v>4135</v>
      </c>
      <c r="I29" s="35">
        <v>15360</v>
      </c>
      <c r="J29" s="35">
        <f t="shared" si="4"/>
        <v>19495</v>
      </c>
      <c r="K29" s="231">
        <v>276317</v>
      </c>
      <c r="L29" s="435">
        <v>3428</v>
      </c>
      <c r="M29" s="436">
        <v>5027</v>
      </c>
      <c r="N29" s="35">
        <f t="shared" si="5"/>
        <v>284772</v>
      </c>
      <c r="O29" s="231">
        <v>276317</v>
      </c>
      <c r="P29" s="435">
        <v>3473</v>
      </c>
      <c r="Q29" s="436">
        <v>5365</v>
      </c>
      <c r="R29" s="35">
        <f t="shared" si="6"/>
        <v>8838</v>
      </c>
      <c r="S29" s="35">
        <f t="shared" si="7"/>
        <v>0</v>
      </c>
      <c r="T29" s="35">
        <f t="shared" si="8"/>
        <v>45</v>
      </c>
      <c r="U29" s="35">
        <f t="shared" si="9"/>
        <v>338</v>
      </c>
      <c r="V29" s="35">
        <f t="shared" si="10"/>
        <v>383</v>
      </c>
      <c r="W29" s="35">
        <f t="shared" si="0"/>
        <v>0</v>
      </c>
      <c r="X29" s="35">
        <f t="shared" si="1"/>
        <v>6</v>
      </c>
      <c r="Y29" s="35">
        <f t="shared" si="2"/>
        <v>2909</v>
      </c>
      <c r="Z29" s="35">
        <f t="shared" si="11"/>
        <v>2915</v>
      </c>
    </row>
    <row r="30" spans="1:26" ht="21" customHeight="1">
      <c r="A30" s="60">
        <v>23</v>
      </c>
      <c r="B30" s="45" t="s">
        <v>8</v>
      </c>
      <c r="C30" s="33">
        <v>101992</v>
      </c>
      <c r="D30" s="433">
        <v>3179</v>
      </c>
      <c r="E30" s="340">
        <v>2644</v>
      </c>
      <c r="F30" s="33">
        <f t="shared" si="3"/>
        <v>5823</v>
      </c>
      <c r="G30" s="33">
        <v>108035</v>
      </c>
      <c r="H30" s="33">
        <v>950</v>
      </c>
      <c r="I30" s="33">
        <v>4700</v>
      </c>
      <c r="J30" s="33">
        <f t="shared" si="4"/>
        <v>5650</v>
      </c>
      <c r="K30" s="232">
        <v>101992</v>
      </c>
      <c r="L30" s="437">
        <v>4405</v>
      </c>
      <c r="M30" s="400">
        <v>3340</v>
      </c>
      <c r="N30" s="33">
        <f t="shared" si="5"/>
        <v>109737</v>
      </c>
      <c r="O30" s="232">
        <v>101992</v>
      </c>
      <c r="P30" s="437">
        <v>4334</v>
      </c>
      <c r="Q30" s="400">
        <v>3492</v>
      </c>
      <c r="R30" s="33">
        <f t="shared" si="6"/>
        <v>7826</v>
      </c>
      <c r="S30" s="33">
        <f t="shared" si="7"/>
        <v>0</v>
      </c>
      <c r="T30" s="33">
        <f t="shared" si="8"/>
        <v>-71</v>
      </c>
      <c r="U30" s="33">
        <f t="shared" si="9"/>
        <v>152</v>
      </c>
      <c r="V30" s="33">
        <f t="shared" si="10"/>
        <v>81</v>
      </c>
      <c r="W30" s="33">
        <f t="shared" si="0"/>
        <v>0</v>
      </c>
      <c r="X30" s="33">
        <f t="shared" si="1"/>
        <v>1155</v>
      </c>
      <c r="Y30" s="33">
        <f t="shared" si="2"/>
        <v>848</v>
      </c>
      <c r="Z30" s="33">
        <f t="shared" si="11"/>
        <v>2003</v>
      </c>
    </row>
    <row r="31" spans="1:26" ht="21" customHeight="1">
      <c r="A31" s="61">
        <v>24</v>
      </c>
      <c r="B31" s="46" t="s">
        <v>40</v>
      </c>
      <c r="C31" s="34">
        <v>64833</v>
      </c>
      <c r="D31" s="434">
        <v>8483</v>
      </c>
      <c r="E31" s="345">
        <v>216</v>
      </c>
      <c r="F31" s="34">
        <f t="shared" si="3"/>
        <v>8699</v>
      </c>
      <c r="G31" s="34">
        <v>149420</v>
      </c>
      <c r="H31" s="34">
        <v>2625</v>
      </c>
      <c r="I31" s="34">
        <v>4540</v>
      </c>
      <c r="J31" s="34">
        <f t="shared" si="4"/>
        <v>7165</v>
      </c>
      <c r="K31" s="233">
        <v>64833</v>
      </c>
      <c r="L31" s="438">
        <v>8822</v>
      </c>
      <c r="M31" s="439">
        <v>423</v>
      </c>
      <c r="N31" s="34">
        <f t="shared" si="5"/>
        <v>74078</v>
      </c>
      <c r="O31" s="233">
        <v>64833</v>
      </c>
      <c r="P31" s="438">
        <v>8852</v>
      </c>
      <c r="Q31" s="439">
        <v>496</v>
      </c>
      <c r="R31" s="34">
        <f t="shared" si="6"/>
        <v>9348</v>
      </c>
      <c r="S31" s="34">
        <f t="shared" si="7"/>
        <v>0</v>
      </c>
      <c r="T31" s="34">
        <f t="shared" si="8"/>
        <v>30</v>
      </c>
      <c r="U31" s="34">
        <f t="shared" si="9"/>
        <v>73</v>
      </c>
      <c r="V31" s="34">
        <f t="shared" si="10"/>
        <v>103</v>
      </c>
      <c r="W31" s="34">
        <f t="shared" si="0"/>
        <v>0</v>
      </c>
      <c r="X31" s="34">
        <f t="shared" si="1"/>
        <v>369</v>
      </c>
      <c r="Y31" s="34">
        <f t="shared" si="2"/>
        <v>280</v>
      </c>
      <c r="Z31" s="34">
        <f t="shared" si="11"/>
        <v>649</v>
      </c>
    </row>
    <row r="32" spans="1:26" ht="21" customHeight="1">
      <c r="A32" s="59">
        <v>25</v>
      </c>
      <c r="B32" s="44" t="s">
        <v>9</v>
      </c>
      <c r="C32" s="35">
        <v>29548</v>
      </c>
      <c r="D32" s="432">
        <v>6571</v>
      </c>
      <c r="E32" s="337">
        <v>8</v>
      </c>
      <c r="F32" s="35">
        <f t="shared" si="3"/>
        <v>6579</v>
      </c>
      <c r="G32" s="35">
        <v>93310</v>
      </c>
      <c r="H32" s="35">
        <v>1878</v>
      </c>
      <c r="I32" s="35">
        <v>0</v>
      </c>
      <c r="J32" s="35">
        <f t="shared" si="4"/>
        <v>1878</v>
      </c>
      <c r="K32" s="231">
        <v>29548</v>
      </c>
      <c r="L32" s="435">
        <v>6247</v>
      </c>
      <c r="M32" s="436">
        <v>0</v>
      </c>
      <c r="N32" s="35">
        <f t="shared" si="5"/>
        <v>35795</v>
      </c>
      <c r="O32" s="231">
        <v>29548</v>
      </c>
      <c r="P32" s="435">
        <v>6251</v>
      </c>
      <c r="Q32" s="436">
        <v>0</v>
      </c>
      <c r="R32" s="35">
        <f t="shared" si="6"/>
        <v>6251</v>
      </c>
      <c r="S32" s="35">
        <f t="shared" si="7"/>
        <v>0</v>
      </c>
      <c r="T32" s="35">
        <f t="shared" si="8"/>
        <v>4</v>
      </c>
      <c r="U32" s="35">
        <f t="shared" si="9"/>
        <v>0</v>
      </c>
      <c r="V32" s="35">
        <f t="shared" si="10"/>
        <v>4</v>
      </c>
      <c r="W32" s="35">
        <f t="shared" si="0"/>
        <v>0</v>
      </c>
      <c r="X32" s="35">
        <f t="shared" si="1"/>
        <v>-320</v>
      </c>
      <c r="Y32" s="35">
        <f t="shared" si="2"/>
        <v>-8</v>
      </c>
      <c r="Z32" s="35">
        <f t="shared" si="11"/>
        <v>-328</v>
      </c>
    </row>
    <row r="33" spans="1:26" ht="21" customHeight="1">
      <c r="A33" s="61">
        <v>26</v>
      </c>
      <c r="B33" s="46" t="s">
        <v>10</v>
      </c>
      <c r="C33" s="33">
        <v>111527</v>
      </c>
      <c r="D33" s="434">
        <v>2638</v>
      </c>
      <c r="E33" s="345">
        <v>160</v>
      </c>
      <c r="F33" s="33">
        <f t="shared" si="3"/>
        <v>2798</v>
      </c>
      <c r="G33" s="33">
        <v>34410</v>
      </c>
      <c r="H33" s="33">
        <v>1400</v>
      </c>
      <c r="I33" s="33">
        <v>320</v>
      </c>
      <c r="J33" s="33">
        <f t="shared" si="4"/>
        <v>1720</v>
      </c>
      <c r="K33" s="232">
        <v>111527</v>
      </c>
      <c r="L33" s="438">
        <v>2057</v>
      </c>
      <c r="M33" s="439">
        <v>874</v>
      </c>
      <c r="N33" s="33">
        <f t="shared" si="5"/>
        <v>114458</v>
      </c>
      <c r="O33" s="232">
        <v>111527</v>
      </c>
      <c r="P33" s="438">
        <v>1984</v>
      </c>
      <c r="Q33" s="439">
        <v>1011</v>
      </c>
      <c r="R33" s="33">
        <f t="shared" si="6"/>
        <v>2995</v>
      </c>
      <c r="S33" s="33">
        <f t="shared" si="7"/>
        <v>0</v>
      </c>
      <c r="T33" s="33">
        <f t="shared" si="8"/>
        <v>-73</v>
      </c>
      <c r="U33" s="33">
        <f t="shared" si="9"/>
        <v>137</v>
      </c>
      <c r="V33" s="33">
        <f t="shared" si="10"/>
        <v>64</v>
      </c>
      <c r="W33" s="33">
        <f t="shared" si="0"/>
        <v>0</v>
      </c>
      <c r="X33" s="33">
        <f t="shared" si="1"/>
        <v>-654</v>
      </c>
      <c r="Y33" s="33">
        <f t="shared" si="2"/>
        <v>851</v>
      </c>
      <c r="Z33" s="33">
        <f t="shared" si="11"/>
        <v>197</v>
      </c>
    </row>
    <row r="34" spans="1:26" s="127" customFormat="1" ht="21" customHeight="1">
      <c r="A34" s="137"/>
      <c r="B34" s="137" t="s">
        <v>11</v>
      </c>
      <c r="C34" s="138">
        <f aca="true" t="shared" si="12" ref="C34:Z34">SUM(C8:C33)</f>
        <v>2460432</v>
      </c>
      <c r="D34" s="138">
        <f t="shared" si="12"/>
        <v>108959</v>
      </c>
      <c r="E34" s="138">
        <f t="shared" si="12"/>
        <v>36110</v>
      </c>
      <c r="F34" s="138">
        <f t="shared" si="12"/>
        <v>145069</v>
      </c>
      <c r="G34" s="138">
        <f t="shared" si="12"/>
        <v>3100000</v>
      </c>
      <c r="H34" s="138">
        <f t="shared" si="12"/>
        <v>50000</v>
      </c>
      <c r="I34" s="138">
        <f t="shared" si="12"/>
        <v>218620</v>
      </c>
      <c r="J34" s="138">
        <f t="shared" si="12"/>
        <v>268620</v>
      </c>
      <c r="K34" s="138">
        <f t="shared" si="12"/>
        <v>2460432</v>
      </c>
      <c r="L34" s="138">
        <f t="shared" si="12"/>
        <v>101601</v>
      </c>
      <c r="M34" s="138">
        <f t="shared" si="12"/>
        <v>74384</v>
      </c>
      <c r="N34" s="138">
        <f t="shared" si="12"/>
        <v>2636417</v>
      </c>
      <c r="O34" s="138">
        <f t="shared" si="12"/>
        <v>2460432</v>
      </c>
      <c r="P34" s="138">
        <f t="shared" si="12"/>
        <v>102069</v>
      </c>
      <c r="Q34" s="138">
        <f t="shared" si="12"/>
        <v>78293</v>
      </c>
      <c r="R34" s="138">
        <f t="shared" si="12"/>
        <v>180362</v>
      </c>
      <c r="S34" s="138">
        <f t="shared" si="12"/>
        <v>0</v>
      </c>
      <c r="T34" s="138">
        <f t="shared" si="12"/>
        <v>468</v>
      </c>
      <c r="U34" s="138">
        <f t="shared" si="12"/>
        <v>3909</v>
      </c>
      <c r="V34" s="138">
        <f t="shared" si="12"/>
        <v>4377</v>
      </c>
      <c r="W34" s="138">
        <f t="shared" si="12"/>
        <v>0</v>
      </c>
      <c r="X34" s="138">
        <f t="shared" si="12"/>
        <v>-6890</v>
      </c>
      <c r="Y34" s="138">
        <f t="shared" si="12"/>
        <v>42183</v>
      </c>
      <c r="Z34" s="138">
        <f t="shared" si="12"/>
        <v>35293</v>
      </c>
    </row>
    <row r="35" spans="1:26" s="127" customFormat="1" ht="21" customHeight="1">
      <c r="A35" s="472" t="s">
        <v>148</v>
      </c>
      <c r="B35" s="472"/>
      <c r="C35" s="295">
        <f aca="true" t="shared" si="13" ref="C35:Z35">C34/1000000</f>
        <v>2.460432</v>
      </c>
      <c r="D35" s="184">
        <f t="shared" si="13"/>
        <v>0.108959</v>
      </c>
      <c r="E35" s="184">
        <f t="shared" si="13"/>
        <v>0.03611</v>
      </c>
      <c r="F35" s="184">
        <f t="shared" si="13"/>
        <v>0.145069</v>
      </c>
      <c r="G35" s="184">
        <f t="shared" si="13"/>
        <v>3.1</v>
      </c>
      <c r="H35" s="184">
        <f t="shared" si="13"/>
        <v>0.05</v>
      </c>
      <c r="I35" s="184">
        <f t="shared" si="13"/>
        <v>0.21862</v>
      </c>
      <c r="J35" s="184">
        <f t="shared" si="13"/>
        <v>0.26862</v>
      </c>
      <c r="K35" s="184">
        <f t="shared" si="13"/>
        <v>2.460432</v>
      </c>
      <c r="L35" s="184">
        <f t="shared" si="13"/>
        <v>0.101601</v>
      </c>
      <c r="M35" s="184">
        <f t="shared" si="13"/>
        <v>0.074384</v>
      </c>
      <c r="N35" s="184">
        <f t="shared" si="13"/>
        <v>2.636417</v>
      </c>
      <c r="O35" s="184">
        <f t="shared" si="13"/>
        <v>2.460432</v>
      </c>
      <c r="P35" s="184">
        <f t="shared" si="13"/>
        <v>0.102069</v>
      </c>
      <c r="Q35" s="184">
        <f t="shared" si="13"/>
        <v>0.078293</v>
      </c>
      <c r="R35" s="184">
        <f t="shared" si="13"/>
        <v>0.180362</v>
      </c>
      <c r="S35" s="184">
        <f t="shared" si="13"/>
        <v>0</v>
      </c>
      <c r="T35" s="184">
        <f t="shared" si="13"/>
        <v>0.000468</v>
      </c>
      <c r="U35" s="184">
        <f t="shared" si="13"/>
        <v>0.003909</v>
      </c>
      <c r="V35" s="184">
        <f t="shared" si="13"/>
        <v>0.004377</v>
      </c>
      <c r="W35" s="184">
        <f t="shared" si="13"/>
        <v>0</v>
      </c>
      <c r="X35" s="184">
        <f t="shared" si="13"/>
        <v>-0.00689</v>
      </c>
      <c r="Y35" s="184">
        <f t="shared" si="13"/>
        <v>0.042183</v>
      </c>
      <c r="Z35" s="184">
        <f t="shared" si="13"/>
        <v>0.035293</v>
      </c>
    </row>
    <row r="36" spans="1:26" s="127" customFormat="1" ht="18" customHeight="1">
      <c r="A36" s="139"/>
      <c r="B36" s="130" t="s">
        <v>110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12" customHeight="1">
      <c r="A37" s="141"/>
      <c r="B37" s="130" t="s">
        <v>173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</row>
    <row r="38" spans="1:29" ht="18" customHeight="1">
      <c r="A38" s="141"/>
      <c r="B38" s="143" t="s">
        <v>30</v>
      </c>
      <c r="C38" s="166"/>
      <c r="D38" s="166"/>
      <c r="E38" s="166"/>
      <c r="F38" s="166"/>
      <c r="G38" s="166"/>
      <c r="H38" s="166"/>
      <c r="I38" s="166"/>
      <c r="J38"/>
      <c r="K38"/>
      <c r="L38"/>
      <c r="M38"/>
      <c r="N38"/>
      <c r="O38"/>
      <c r="P38"/>
      <c r="Q38"/>
      <c r="R38" s="166"/>
      <c r="S38" s="166"/>
      <c r="T38" s="166"/>
      <c r="U38" s="166"/>
      <c r="V38" s="166"/>
      <c r="W38" s="166"/>
      <c r="X38" s="360"/>
      <c r="Y38" s="166"/>
      <c r="Z38" s="166"/>
      <c r="AA38"/>
      <c r="AB38"/>
      <c r="AC38"/>
    </row>
    <row r="39" spans="1:29" ht="17.25" customHeight="1">
      <c r="A39" s="141"/>
      <c r="B39" s="143" t="s">
        <v>15</v>
      </c>
      <c r="C39" s="147"/>
      <c r="D39" s="147"/>
      <c r="E39" s="147"/>
      <c r="F39" s="147"/>
      <c r="G39" s="147"/>
      <c r="H39" s="147"/>
      <c r="I39" s="147"/>
      <c r="J39"/>
      <c r="K39"/>
      <c r="L39"/>
      <c r="M39"/>
      <c r="N39"/>
      <c r="O39"/>
      <c r="Q39"/>
      <c r="R39" s="281"/>
      <c r="S39" s="147"/>
      <c r="T39" s="147"/>
      <c r="U39" s="147"/>
      <c r="V39" s="147"/>
      <c r="W39" s="147"/>
      <c r="X39" s="147"/>
      <c r="Y39" s="147"/>
      <c r="Z39" s="147"/>
      <c r="AA39"/>
      <c r="AB39"/>
      <c r="AC39"/>
    </row>
    <row r="40" spans="1:29" ht="18" customHeight="1">
      <c r="A40" s="141"/>
      <c r="B40" s="148" t="s">
        <v>58</v>
      </c>
      <c r="C40" s="147"/>
      <c r="D40" s="147"/>
      <c r="E40" s="147"/>
      <c r="F40" s="147"/>
      <c r="G40" s="147"/>
      <c r="H40" s="147"/>
      <c r="I40" s="147"/>
      <c r="J40"/>
      <c r="K40"/>
      <c r="L40"/>
      <c r="M40"/>
      <c r="N40"/>
      <c r="O40"/>
      <c r="Q40"/>
      <c r="R40" s="147"/>
      <c r="S40" s="147"/>
      <c r="T40" s="147"/>
      <c r="U40" s="147"/>
      <c r="V40" s="147"/>
      <c r="W40" s="147"/>
      <c r="X40" s="147"/>
      <c r="Y40" s="147"/>
      <c r="Z40" s="147"/>
      <c r="AA40"/>
      <c r="AB40"/>
      <c r="AC40"/>
    </row>
    <row r="41" spans="1:29" ht="18" customHeight="1">
      <c r="A41" s="141"/>
      <c r="B41" s="148"/>
      <c r="C41" s="147"/>
      <c r="D41" s="147"/>
      <c r="E41" s="147"/>
      <c r="F41" s="147"/>
      <c r="G41" s="147"/>
      <c r="H41" s="147"/>
      <c r="I41" s="147"/>
      <c r="J41"/>
      <c r="K41"/>
      <c r="L41"/>
      <c r="M41"/>
      <c r="N41"/>
      <c r="O41"/>
      <c r="P41"/>
      <c r="Q41"/>
      <c r="R41" s="147"/>
      <c r="S41" s="147"/>
      <c r="T41" s="147"/>
      <c r="U41" s="147"/>
      <c r="V41" s="147"/>
      <c r="W41" s="147"/>
      <c r="X41" s="147"/>
      <c r="Y41" s="147"/>
      <c r="Z41" s="147"/>
      <c r="AA41"/>
      <c r="AB41"/>
      <c r="AC41"/>
    </row>
    <row r="42" spans="1:29" ht="18" customHeight="1">
      <c r="A42" s="141"/>
      <c r="B42" s="143"/>
      <c r="C42" s="147"/>
      <c r="D42" s="147"/>
      <c r="E42" s="147"/>
      <c r="F42" s="147"/>
      <c r="G42" s="147"/>
      <c r="H42" s="147"/>
      <c r="I42" s="147"/>
      <c r="J42"/>
      <c r="K42"/>
      <c r="L42"/>
      <c r="M42"/>
      <c r="N42"/>
      <c r="O42"/>
      <c r="P42"/>
      <c r="Q42"/>
      <c r="R42" s="147"/>
      <c r="S42" s="147"/>
      <c r="T42" s="147"/>
      <c r="U42" s="147"/>
      <c r="V42" s="147"/>
      <c r="W42" s="147"/>
      <c r="X42" s="147"/>
      <c r="Y42" s="147"/>
      <c r="Z42" s="147"/>
      <c r="AA42"/>
      <c r="AB42"/>
      <c r="AC42"/>
    </row>
    <row r="43" spans="1:29" ht="18" customHeight="1">
      <c r="A43" s="141"/>
      <c r="B43" s="132"/>
      <c r="J43"/>
      <c r="K43"/>
      <c r="L43"/>
      <c r="M43"/>
      <c r="N43"/>
      <c r="O43"/>
      <c r="P43"/>
      <c r="Q43"/>
      <c r="AA43"/>
      <c r="AB43"/>
      <c r="AC43"/>
    </row>
    <row r="44" spans="1:29" ht="19.5" customHeight="1">
      <c r="A44" s="132"/>
      <c r="B44" s="132"/>
      <c r="J44"/>
      <c r="K44"/>
      <c r="L44"/>
      <c r="M44"/>
      <c r="N44"/>
      <c r="O44"/>
      <c r="P44"/>
      <c r="Q44"/>
      <c r="AA44"/>
      <c r="AB44"/>
      <c r="AC44"/>
    </row>
    <row r="45" spans="1:29" ht="15.75">
      <c r="A45" s="132"/>
      <c r="B45" s="126"/>
      <c r="C45" s="150"/>
      <c r="D45" s="150"/>
      <c r="E45" s="150"/>
      <c r="F45" s="150"/>
      <c r="G45" s="150"/>
      <c r="H45" s="150"/>
      <c r="I45" s="150"/>
      <c r="J45"/>
      <c r="K45"/>
      <c r="L45"/>
      <c r="M45"/>
      <c r="N45"/>
      <c r="O45"/>
      <c r="P45"/>
      <c r="Q45"/>
      <c r="R45" s="150"/>
      <c r="S45" s="150"/>
      <c r="T45" s="150"/>
      <c r="U45" s="150"/>
      <c r="V45" s="150"/>
      <c r="W45" s="150"/>
      <c r="X45" s="150"/>
      <c r="Y45" s="150"/>
      <c r="Z45" s="150"/>
      <c r="AA45"/>
      <c r="AB45"/>
      <c r="AC45"/>
    </row>
    <row r="46" spans="1:29" ht="15.75">
      <c r="A46" s="132"/>
      <c r="B46" s="126"/>
      <c r="C46" s="126"/>
      <c r="D46" s="126"/>
      <c r="E46" s="126"/>
      <c r="F46" s="126"/>
      <c r="G46" s="126"/>
      <c r="H46" s="126"/>
      <c r="I46" s="126"/>
      <c r="J46"/>
      <c r="K46"/>
      <c r="L46"/>
      <c r="M46"/>
      <c r="N46"/>
      <c r="O46"/>
      <c r="P46"/>
      <c r="Q46"/>
      <c r="R46" s="126"/>
      <c r="S46" s="126"/>
      <c r="T46" s="126"/>
      <c r="U46" s="126"/>
      <c r="V46" s="126"/>
      <c r="W46" s="126"/>
      <c r="X46" s="126"/>
      <c r="Y46" s="126"/>
      <c r="Z46" s="126"/>
      <c r="AA46"/>
      <c r="AB46"/>
      <c r="AC46"/>
    </row>
    <row r="47" spans="1:29" ht="15.75">
      <c r="A47" s="132"/>
      <c r="B47" s="126"/>
      <c r="C47" s="126"/>
      <c r="D47" s="126"/>
      <c r="E47" s="126"/>
      <c r="F47" s="126"/>
      <c r="G47" s="126"/>
      <c r="H47" s="126"/>
      <c r="I47" s="126"/>
      <c r="J47"/>
      <c r="K47"/>
      <c r="L47"/>
      <c r="M47"/>
      <c r="N47"/>
      <c r="O47"/>
      <c r="P47"/>
      <c r="Q47"/>
      <c r="R47" s="126"/>
      <c r="S47" s="126"/>
      <c r="T47" s="126"/>
      <c r="U47" s="126"/>
      <c r="V47" s="126"/>
      <c r="W47" s="126"/>
      <c r="X47" s="126"/>
      <c r="Y47" s="126"/>
      <c r="Z47" s="126"/>
      <c r="AA47"/>
      <c r="AB47"/>
      <c r="AC47"/>
    </row>
    <row r="48" spans="1:29" ht="15.75">
      <c r="A48" s="126"/>
      <c r="C48" s="126"/>
      <c r="D48" s="126"/>
      <c r="E48" s="126"/>
      <c r="F48" s="126"/>
      <c r="G48" s="126"/>
      <c r="H48" s="126"/>
      <c r="I48" s="126"/>
      <c r="J48"/>
      <c r="K48"/>
      <c r="L48"/>
      <c r="M48"/>
      <c r="N48"/>
      <c r="O48"/>
      <c r="P48"/>
      <c r="Q48"/>
      <c r="R48" s="126"/>
      <c r="S48" s="126"/>
      <c r="T48" s="126"/>
      <c r="U48" s="126"/>
      <c r="V48" s="126"/>
      <c r="W48" s="126"/>
      <c r="X48" s="126"/>
      <c r="Y48" s="126"/>
      <c r="Z48" s="126"/>
      <c r="AA48"/>
      <c r="AB48"/>
      <c r="AC48"/>
    </row>
    <row r="49" spans="10:29" ht="15" customHeight="1">
      <c r="J49"/>
      <c r="K49"/>
      <c r="L49"/>
      <c r="M49"/>
      <c r="N49"/>
      <c r="O49"/>
      <c r="P49"/>
      <c r="Q49"/>
      <c r="AA49"/>
      <c r="AB49"/>
      <c r="AC49"/>
    </row>
    <row r="50" spans="10:29" ht="15" customHeight="1">
      <c r="J50"/>
      <c r="K50"/>
      <c r="L50"/>
      <c r="M50"/>
      <c r="N50"/>
      <c r="O50"/>
      <c r="P50"/>
      <c r="Q50"/>
      <c r="AA50"/>
      <c r="AB50"/>
      <c r="AC50"/>
    </row>
    <row r="51" spans="10:29" ht="15" customHeight="1">
      <c r="J51"/>
      <c r="K51"/>
      <c r="L51"/>
      <c r="M51"/>
      <c r="N51"/>
      <c r="O51"/>
      <c r="P51"/>
      <c r="Q51"/>
      <c r="AA51"/>
      <c r="AB51"/>
      <c r="AC51"/>
    </row>
    <row r="52" spans="10:29" ht="15" customHeight="1">
      <c r="J52"/>
      <c r="K52"/>
      <c r="L52"/>
      <c r="M52"/>
      <c r="N52"/>
      <c r="O52"/>
      <c r="P52"/>
      <c r="Q52"/>
      <c r="AA52"/>
      <c r="AB52"/>
      <c r="AC52"/>
    </row>
    <row r="53" spans="2:29" ht="15" customHeight="1">
      <c r="B53" s="154"/>
      <c r="J53"/>
      <c r="K53"/>
      <c r="L53"/>
      <c r="M53"/>
      <c r="N53"/>
      <c r="O53"/>
      <c r="P53"/>
      <c r="Q53"/>
      <c r="AA53"/>
      <c r="AB53"/>
      <c r="AC53"/>
    </row>
    <row r="54" spans="2:29" ht="18">
      <c r="B54" s="154"/>
      <c r="C54" s="154"/>
      <c r="D54" s="154"/>
      <c r="E54" s="154"/>
      <c r="F54" s="154"/>
      <c r="G54" s="154"/>
      <c r="H54" s="154"/>
      <c r="I54" s="154"/>
      <c r="J54"/>
      <c r="K54"/>
      <c r="L54"/>
      <c r="M54"/>
      <c r="N54"/>
      <c r="O54"/>
      <c r="P54"/>
      <c r="Q54"/>
      <c r="R54" s="154"/>
      <c r="S54" s="154"/>
      <c r="T54" s="154"/>
      <c r="U54" s="154"/>
      <c r="V54" s="154"/>
      <c r="W54" s="154"/>
      <c r="X54" s="154"/>
      <c r="Y54" s="154"/>
      <c r="Z54" s="154"/>
      <c r="AA54"/>
      <c r="AB54"/>
      <c r="AC54"/>
    </row>
    <row r="55" spans="2:29" ht="18">
      <c r="B55" s="154"/>
      <c r="C55" s="154"/>
      <c r="D55" s="154"/>
      <c r="E55" s="154"/>
      <c r="F55" s="154"/>
      <c r="G55" s="154"/>
      <c r="H55" s="154"/>
      <c r="I55" s="154"/>
      <c r="J55"/>
      <c r="K55"/>
      <c r="L55"/>
      <c r="M55"/>
      <c r="N55"/>
      <c r="O55"/>
      <c r="P55"/>
      <c r="Q55"/>
      <c r="R55" s="154"/>
      <c r="S55" s="154"/>
      <c r="T55" s="154"/>
      <c r="U55" s="154"/>
      <c r="V55" s="154"/>
      <c r="W55" s="154"/>
      <c r="X55" s="154"/>
      <c r="Y55" s="154"/>
      <c r="Z55" s="154"/>
      <c r="AA55"/>
      <c r="AB55"/>
      <c r="AC55"/>
    </row>
    <row r="56" spans="2:29" ht="18">
      <c r="B56" s="154"/>
      <c r="C56" s="154"/>
      <c r="D56" s="154"/>
      <c r="E56" s="154"/>
      <c r="F56" s="154"/>
      <c r="G56" s="154"/>
      <c r="H56" s="154"/>
      <c r="I56" s="154"/>
      <c r="J56"/>
      <c r="K56"/>
      <c r="L56"/>
      <c r="M56"/>
      <c r="N56"/>
      <c r="O56"/>
      <c r="P56"/>
      <c r="Q56"/>
      <c r="R56" s="154"/>
      <c r="S56" s="154"/>
      <c r="T56" s="154"/>
      <c r="U56" s="154"/>
      <c r="V56" s="154"/>
      <c r="W56" s="154"/>
      <c r="X56" s="154"/>
      <c r="Y56" s="154"/>
      <c r="Z56" s="154"/>
      <c r="AA56"/>
      <c r="AB56"/>
      <c r="AC56"/>
    </row>
    <row r="57" spans="2:29" ht="18">
      <c r="B57" s="154"/>
      <c r="C57" s="154"/>
      <c r="D57" s="154"/>
      <c r="E57" s="154"/>
      <c r="F57" s="154"/>
      <c r="G57" s="154"/>
      <c r="H57" s="154"/>
      <c r="I57" s="154"/>
      <c r="J57"/>
      <c r="K57"/>
      <c r="L57"/>
      <c r="M57"/>
      <c r="N57"/>
      <c r="O57"/>
      <c r="P57"/>
      <c r="Q57"/>
      <c r="R57" s="154"/>
      <c r="S57" s="154"/>
      <c r="T57" s="154"/>
      <c r="U57" s="154"/>
      <c r="V57" s="154"/>
      <c r="W57" s="154"/>
      <c r="X57" s="154"/>
      <c r="Y57" s="154"/>
      <c r="Z57" s="154"/>
      <c r="AA57"/>
      <c r="AB57"/>
      <c r="AC57"/>
    </row>
    <row r="58" spans="2:29" ht="18">
      <c r="B58" s="154"/>
      <c r="C58" s="154"/>
      <c r="D58" s="154"/>
      <c r="E58" s="154"/>
      <c r="F58" s="154"/>
      <c r="G58" s="154"/>
      <c r="H58" s="154"/>
      <c r="I58" s="154"/>
      <c r="J58"/>
      <c r="K58"/>
      <c r="L58"/>
      <c r="M58"/>
      <c r="N58"/>
      <c r="O58"/>
      <c r="P58"/>
      <c r="Q58"/>
      <c r="R58" s="154"/>
      <c r="S58" s="154"/>
      <c r="T58" s="154"/>
      <c r="U58" s="154"/>
      <c r="V58" s="154"/>
      <c r="W58" s="154"/>
      <c r="X58" s="154"/>
      <c r="Y58" s="154"/>
      <c r="Z58" s="154"/>
      <c r="AA58"/>
      <c r="AB58"/>
      <c r="AC58"/>
    </row>
    <row r="59" spans="2:29" ht="18">
      <c r="B59" s="154"/>
      <c r="C59" s="154"/>
      <c r="D59" s="154"/>
      <c r="E59" s="154"/>
      <c r="F59" s="154"/>
      <c r="G59" s="154"/>
      <c r="H59" s="154"/>
      <c r="I59" s="154"/>
      <c r="J59"/>
      <c r="K59"/>
      <c r="L59"/>
      <c r="M59"/>
      <c r="N59"/>
      <c r="O59"/>
      <c r="P59"/>
      <c r="Q59"/>
      <c r="R59" s="154"/>
      <c r="S59" s="154"/>
      <c r="T59" s="154"/>
      <c r="U59" s="154"/>
      <c r="V59" s="154"/>
      <c r="W59" s="154"/>
      <c r="X59" s="154"/>
      <c r="Y59" s="154"/>
      <c r="Z59" s="154"/>
      <c r="AA59"/>
      <c r="AB59"/>
      <c r="AC59"/>
    </row>
    <row r="60" spans="3:29" ht="18">
      <c r="C60" s="154"/>
      <c r="D60" s="154"/>
      <c r="E60" s="154"/>
      <c r="F60" s="154"/>
      <c r="G60" s="154"/>
      <c r="H60" s="154"/>
      <c r="I60" s="154"/>
      <c r="J60"/>
      <c r="K60"/>
      <c r="L60"/>
      <c r="M60"/>
      <c r="N60"/>
      <c r="O60"/>
      <c r="P60"/>
      <c r="Q60"/>
      <c r="R60" s="154"/>
      <c r="S60" s="154"/>
      <c r="T60" s="154"/>
      <c r="U60" s="154"/>
      <c r="V60" s="154"/>
      <c r="W60" s="154"/>
      <c r="X60" s="154"/>
      <c r="Y60" s="154"/>
      <c r="Z60" s="154"/>
      <c r="AA60"/>
      <c r="AB60"/>
      <c r="AC60"/>
    </row>
    <row r="61" spans="10:29" ht="15">
      <c r="J61"/>
      <c r="K61"/>
      <c r="L61"/>
      <c r="M61"/>
      <c r="N61"/>
      <c r="O61"/>
      <c r="P61"/>
      <c r="Q61"/>
      <c r="AA61"/>
      <c r="AB61"/>
      <c r="AC61"/>
    </row>
    <row r="62" spans="10:29" ht="15">
      <c r="J62"/>
      <c r="K62"/>
      <c r="L62"/>
      <c r="M62"/>
      <c r="N62"/>
      <c r="O62"/>
      <c r="P62"/>
      <c r="Q62"/>
      <c r="AA62"/>
      <c r="AB62"/>
      <c r="AC62"/>
    </row>
    <row r="63" spans="10:29" ht="15">
      <c r="J63"/>
      <c r="K63"/>
      <c r="L63"/>
      <c r="M63"/>
      <c r="N63"/>
      <c r="O63"/>
      <c r="P63"/>
      <c r="Q63"/>
      <c r="AA63"/>
      <c r="AB63"/>
      <c r="AC63"/>
    </row>
  </sheetData>
  <sheetProtection/>
  <mergeCells count="12">
    <mergeCell ref="A35:B35"/>
    <mergeCell ref="G6:J6"/>
    <mergeCell ref="O6:R6"/>
    <mergeCell ref="S6:V6"/>
    <mergeCell ref="C6:F6"/>
    <mergeCell ref="K6:N6"/>
    <mergeCell ref="C5:R5"/>
    <mergeCell ref="S5:Z5"/>
    <mergeCell ref="A4:A7"/>
    <mergeCell ref="B4:B7"/>
    <mergeCell ref="C4:Z4"/>
    <mergeCell ref="W6:Z6"/>
  </mergeCells>
  <conditionalFormatting sqref="K8:K33">
    <cfRule type="top10" priority="27" dxfId="3" stopIfTrue="1" rank="5" bottom="1"/>
    <cfRule type="top10" priority="28" dxfId="0" stopIfTrue="1" rank="5"/>
  </conditionalFormatting>
  <conditionalFormatting sqref="AB2:AB27">
    <cfRule type="top10" priority="3" dxfId="3" stopIfTrue="1" rank="5" bottom="1"/>
    <cfRule type="top10" priority="4" dxfId="0" stopIfTrue="1" rank="5"/>
  </conditionalFormatting>
  <conditionalFormatting sqref="K8:K33 N8:O33 R8:Z33">
    <cfRule type="top10" priority="94" dxfId="3" stopIfTrue="1" rank="5" bottom="1"/>
    <cfRule type="top10" priority="95" dxfId="0" stopIfTrue="1" rank="5"/>
  </conditionalFormatting>
  <printOptions/>
  <pageMargins left="0.5905511811023623" right="0" top="0.5905511811023623" bottom="0.1968503937007874" header="0.31496062992125984" footer="0.31496062992125984"/>
  <pageSetup horizontalDpi="600" verticalDpi="600" orientation="landscape" paperSize="9" scale="7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B1">
      <selection activeCell="O12" sqref="O12"/>
    </sheetView>
  </sheetViews>
  <sheetFormatPr defaultColWidth="7.8515625" defaultRowHeight="12.75"/>
  <cols>
    <col min="1" max="1" width="4.8515625" style="125" customWidth="1"/>
    <col min="2" max="2" width="14.7109375" style="125" customWidth="1"/>
    <col min="3" max="3" width="11.28125" style="125" customWidth="1"/>
    <col min="4" max="4" width="12.00390625" style="125" bestFit="1" customWidth="1"/>
    <col min="5" max="5" width="9.8515625" style="125" customWidth="1"/>
    <col min="6" max="6" width="12.421875" style="125" customWidth="1"/>
    <col min="7" max="7" width="10.140625" style="125" customWidth="1"/>
    <col min="8" max="8" width="10.57421875" style="125" customWidth="1"/>
    <col min="9" max="9" width="11.00390625" style="125" customWidth="1"/>
    <col min="10" max="11" width="11.7109375" style="125" customWidth="1"/>
    <col min="12" max="12" width="12.28125" style="125" customWidth="1"/>
    <col min="13" max="13" width="10.140625" style="125" customWidth="1"/>
    <col min="14" max="14" width="10.28125" style="125" customWidth="1"/>
    <col min="15" max="15" width="12.57421875" style="125" customWidth="1"/>
    <col min="16" max="16" width="12.28125" style="125" customWidth="1"/>
    <col min="17" max="17" width="14.8515625" style="125" customWidth="1"/>
    <col min="18" max="18" width="15.140625" style="125" customWidth="1"/>
    <col min="19" max="19" width="7.8515625" style="125" customWidth="1"/>
    <col min="20" max="20" width="14.28125" style="125" customWidth="1"/>
    <col min="21" max="21" width="11.421875" style="125" customWidth="1"/>
    <col min="22" max="25" width="7.8515625" style="125" customWidth="1"/>
    <col min="26" max="16384" width="7.8515625" style="125" customWidth="1"/>
  </cols>
  <sheetData>
    <row r="1" spans="2:16" ht="18" customHeight="1"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P1" s="126" t="s">
        <v>133</v>
      </c>
    </row>
    <row r="2" spans="2:13" ht="18" customHeight="1">
      <c r="B2" s="126"/>
      <c r="C2" s="126"/>
      <c r="D2" s="126"/>
      <c r="E2" s="126"/>
      <c r="F2" s="126"/>
      <c r="G2" s="130"/>
      <c r="H2" s="126"/>
      <c r="I2" s="126"/>
      <c r="J2" s="126"/>
      <c r="K2" s="126"/>
      <c r="L2" s="126"/>
      <c r="M2" s="126"/>
    </row>
    <row r="3" spans="1:14" ht="18" customHeight="1">
      <c r="A3" s="128" t="s">
        <v>16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N3" s="1" t="str">
        <f>'Feb 13 (4&amp;5)'!S2</f>
        <v>No.1-2(1)/2012-CP&amp;M-LTP    </v>
      </c>
    </row>
    <row r="4" spans="1:14" ht="15" customHeight="1">
      <c r="A4" s="130" t="s">
        <v>19</v>
      </c>
      <c r="B4" s="130"/>
      <c r="C4" s="130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7.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2:14" ht="16.5" customHeight="1">
      <c r="B6" s="133" t="s">
        <v>163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ht="9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7" ht="18" customHeight="1">
      <c r="A8" s="522" t="s">
        <v>18</v>
      </c>
      <c r="B8" s="522" t="s">
        <v>17</v>
      </c>
      <c r="C8" s="526" t="s">
        <v>83</v>
      </c>
      <c r="D8" s="526"/>
      <c r="E8" s="526"/>
      <c r="F8" s="526"/>
      <c r="G8" s="526"/>
      <c r="H8" s="526"/>
      <c r="I8" s="525" t="s">
        <v>84</v>
      </c>
      <c r="J8" s="526"/>
      <c r="K8" s="526"/>
      <c r="L8" s="526"/>
      <c r="M8" s="526"/>
      <c r="N8" s="526"/>
      <c r="O8" s="520" t="s">
        <v>87</v>
      </c>
      <c r="P8" s="520"/>
      <c r="Q8" s="159"/>
    </row>
    <row r="9" spans="1:17" ht="51.75" customHeight="1">
      <c r="A9" s="523"/>
      <c r="B9" s="523"/>
      <c r="C9" s="534" t="s">
        <v>98</v>
      </c>
      <c r="D9" s="522" t="s">
        <v>100</v>
      </c>
      <c r="E9" s="522" t="s">
        <v>76</v>
      </c>
      <c r="F9" s="186" t="s">
        <v>162</v>
      </c>
      <c r="G9" s="525" t="s">
        <v>86</v>
      </c>
      <c r="H9" s="526"/>
      <c r="I9" s="174" t="s">
        <v>98</v>
      </c>
      <c r="J9" s="522" t="s">
        <v>92</v>
      </c>
      <c r="K9" s="186" t="s">
        <v>95</v>
      </c>
      <c r="L9" s="186" t="s">
        <v>162</v>
      </c>
      <c r="M9" s="520" t="s">
        <v>85</v>
      </c>
      <c r="N9" s="520"/>
      <c r="O9" s="522" t="s">
        <v>81</v>
      </c>
      <c r="P9" s="522" t="s">
        <v>82</v>
      </c>
      <c r="Q9" s="171" t="s">
        <v>79</v>
      </c>
    </row>
    <row r="10" spans="1:17" ht="36" customHeight="1">
      <c r="A10" s="524"/>
      <c r="B10" s="524"/>
      <c r="C10" s="535"/>
      <c r="D10" s="524"/>
      <c r="E10" s="524"/>
      <c r="F10" s="135" t="s">
        <v>146</v>
      </c>
      <c r="G10" s="135" t="s">
        <v>0</v>
      </c>
      <c r="H10" s="158" t="s">
        <v>99</v>
      </c>
      <c r="I10" s="135" t="s">
        <v>101</v>
      </c>
      <c r="J10" s="524"/>
      <c r="K10" s="135" t="s">
        <v>96</v>
      </c>
      <c r="L10" s="135" t="s">
        <v>96</v>
      </c>
      <c r="M10" s="135" t="s">
        <v>0</v>
      </c>
      <c r="N10" s="135" t="s">
        <v>99</v>
      </c>
      <c r="O10" s="524"/>
      <c r="P10" s="524"/>
      <c r="Q10" s="135" t="s">
        <v>90</v>
      </c>
    </row>
    <row r="11" spans="1:21" ht="21" customHeight="1">
      <c r="A11" s="59">
        <v>1</v>
      </c>
      <c r="B11" s="44" t="s">
        <v>39</v>
      </c>
      <c r="C11" s="35">
        <v>2583</v>
      </c>
      <c r="D11" s="35">
        <v>625</v>
      </c>
      <c r="E11" s="35">
        <v>3845</v>
      </c>
      <c r="F11" s="35">
        <v>3862</v>
      </c>
      <c r="G11" s="35">
        <f>F11-E11</f>
        <v>17</v>
      </c>
      <c r="H11" s="35">
        <f aca="true" t="shared" si="0" ref="H11:H36">F11-C11</f>
        <v>1279</v>
      </c>
      <c r="I11" s="35">
        <v>34560</v>
      </c>
      <c r="J11" s="35"/>
      <c r="K11" s="35">
        <v>34560</v>
      </c>
      <c r="L11" s="35">
        <v>34560</v>
      </c>
      <c r="M11" s="35">
        <f aca="true" t="shared" si="1" ref="M11:M36">L11-K11</f>
        <v>0</v>
      </c>
      <c r="N11" s="35">
        <f aca="true" t="shared" si="2" ref="N11:N36">L11-I11</f>
        <v>0</v>
      </c>
      <c r="O11" s="35">
        <v>0</v>
      </c>
      <c r="P11" s="35">
        <v>0</v>
      </c>
      <c r="Q11" s="35">
        <f>60*Q38</f>
        <v>1800</v>
      </c>
      <c r="S11" s="125">
        <v>-4</v>
      </c>
      <c r="T11" s="172">
        <f>S11+F11</f>
        <v>3858</v>
      </c>
      <c r="U11" s="172"/>
    </row>
    <row r="12" spans="1:21" ht="21" customHeight="1">
      <c r="A12" s="60">
        <v>2</v>
      </c>
      <c r="B12" s="45" t="s">
        <v>65</v>
      </c>
      <c r="C12" s="33">
        <v>220113</v>
      </c>
      <c r="D12" s="33">
        <v>5000</v>
      </c>
      <c r="E12" s="33">
        <v>223824</v>
      </c>
      <c r="F12" s="33">
        <v>223596</v>
      </c>
      <c r="G12" s="33">
        <f aca="true" t="shared" si="3" ref="G12:G36">F12-E12</f>
        <v>-228</v>
      </c>
      <c r="H12" s="33">
        <f t="shared" si="0"/>
        <v>3483</v>
      </c>
      <c r="I12" s="33">
        <v>345780</v>
      </c>
      <c r="J12" s="33"/>
      <c r="K12" s="33">
        <v>345780</v>
      </c>
      <c r="L12" s="33">
        <v>345780</v>
      </c>
      <c r="M12" s="33">
        <f t="shared" si="1"/>
        <v>0</v>
      </c>
      <c r="N12" s="33">
        <f t="shared" si="2"/>
        <v>0</v>
      </c>
      <c r="O12" s="33">
        <v>0</v>
      </c>
      <c r="P12" s="33">
        <v>0</v>
      </c>
      <c r="Q12" s="33">
        <f>11466*Q38</f>
        <v>343980</v>
      </c>
      <c r="S12" s="125">
        <v>-696</v>
      </c>
      <c r="T12" s="172">
        <f aca="true" t="shared" si="4" ref="T12:T36">S12+F12</f>
        <v>222900</v>
      </c>
      <c r="U12" s="172"/>
    </row>
    <row r="13" spans="1:21" ht="21" customHeight="1">
      <c r="A13" s="61">
        <v>3</v>
      </c>
      <c r="B13" s="46" t="s">
        <v>3</v>
      </c>
      <c r="C13" s="34">
        <v>35009</v>
      </c>
      <c r="D13" s="34">
        <v>2000</v>
      </c>
      <c r="E13" s="34">
        <v>35380</v>
      </c>
      <c r="F13" s="34">
        <v>35400</v>
      </c>
      <c r="G13" s="34">
        <f t="shared" si="3"/>
        <v>20</v>
      </c>
      <c r="H13" s="34">
        <f t="shared" si="0"/>
        <v>391</v>
      </c>
      <c r="I13" s="34">
        <v>47340</v>
      </c>
      <c r="J13" s="34"/>
      <c r="K13" s="34">
        <v>47340</v>
      </c>
      <c r="L13" s="34">
        <v>47340</v>
      </c>
      <c r="M13" s="34">
        <f t="shared" si="1"/>
        <v>0</v>
      </c>
      <c r="N13" s="34">
        <f t="shared" si="2"/>
        <v>0</v>
      </c>
      <c r="O13" s="34">
        <v>0</v>
      </c>
      <c r="P13" s="34">
        <v>0</v>
      </c>
      <c r="Q13" s="34">
        <v>21288</v>
      </c>
      <c r="S13" s="125">
        <v>75</v>
      </c>
      <c r="T13" s="172">
        <f t="shared" si="4"/>
        <v>35475</v>
      </c>
      <c r="U13" s="172"/>
    </row>
    <row r="14" spans="1:21" ht="21" customHeight="1">
      <c r="A14" s="59">
        <v>4</v>
      </c>
      <c r="B14" s="44" t="s">
        <v>31</v>
      </c>
      <c r="C14" s="35">
        <v>43180</v>
      </c>
      <c r="D14" s="35">
        <v>12500</v>
      </c>
      <c r="E14" s="35">
        <v>56504</v>
      </c>
      <c r="F14" s="35">
        <v>56828</v>
      </c>
      <c r="G14" s="35">
        <f t="shared" si="3"/>
        <v>324</v>
      </c>
      <c r="H14" s="35">
        <f t="shared" si="0"/>
        <v>13648</v>
      </c>
      <c r="I14" s="35">
        <v>59670</v>
      </c>
      <c r="J14" s="35"/>
      <c r="K14" s="35">
        <v>59670</v>
      </c>
      <c r="L14" s="35">
        <v>59670</v>
      </c>
      <c r="M14" s="35">
        <f t="shared" si="1"/>
        <v>0</v>
      </c>
      <c r="N14" s="35">
        <f t="shared" si="2"/>
        <v>0</v>
      </c>
      <c r="O14" s="35">
        <v>0</v>
      </c>
      <c r="P14" s="35">
        <v>0</v>
      </c>
      <c r="Q14" s="35">
        <v>37500</v>
      </c>
      <c r="S14" s="125">
        <v>-335</v>
      </c>
      <c r="T14" s="172">
        <f t="shared" si="4"/>
        <v>56493</v>
      </c>
      <c r="U14" s="172"/>
    </row>
    <row r="15" spans="1:21" ht="21" customHeight="1">
      <c r="A15" s="60">
        <v>5</v>
      </c>
      <c r="B15" s="45" t="s">
        <v>5</v>
      </c>
      <c r="C15" s="33">
        <v>48036</v>
      </c>
      <c r="D15" s="33">
        <v>2000</v>
      </c>
      <c r="E15" s="33">
        <v>50262</v>
      </c>
      <c r="F15" s="33">
        <v>50498</v>
      </c>
      <c r="G15" s="33">
        <f t="shared" si="3"/>
        <v>236</v>
      </c>
      <c r="H15" s="33">
        <f t="shared" si="0"/>
        <v>2462</v>
      </c>
      <c r="I15" s="33">
        <v>38700</v>
      </c>
      <c r="J15" s="33"/>
      <c r="K15" s="33">
        <v>38700</v>
      </c>
      <c r="L15" s="33">
        <v>38700</v>
      </c>
      <c r="M15" s="33">
        <f t="shared" si="1"/>
        <v>0</v>
      </c>
      <c r="N15" s="33">
        <f t="shared" si="2"/>
        <v>0</v>
      </c>
      <c r="O15" s="33">
        <v>0</v>
      </c>
      <c r="P15" s="33">
        <v>0</v>
      </c>
      <c r="Q15" s="33">
        <f>540*Q38</f>
        <v>16200</v>
      </c>
      <c r="S15" s="125">
        <v>-1</v>
      </c>
      <c r="T15" s="172">
        <f t="shared" si="4"/>
        <v>50497</v>
      </c>
      <c r="U15" s="172"/>
    </row>
    <row r="16" spans="1:21" ht="21" customHeight="1">
      <c r="A16" s="61">
        <v>6</v>
      </c>
      <c r="B16" s="46" t="s">
        <v>32</v>
      </c>
      <c r="C16" s="34">
        <v>122047</v>
      </c>
      <c r="D16" s="34">
        <v>8000</v>
      </c>
      <c r="E16" s="34">
        <v>115823</v>
      </c>
      <c r="F16" s="34">
        <v>115095</v>
      </c>
      <c r="G16" s="34">
        <f t="shared" si="3"/>
        <v>-728</v>
      </c>
      <c r="H16" s="34">
        <f t="shared" si="0"/>
        <v>-6952</v>
      </c>
      <c r="I16" s="34">
        <v>290520</v>
      </c>
      <c r="J16" s="34"/>
      <c r="K16" s="34">
        <v>290520</v>
      </c>
      <c r="L16" s="34">
        <v>290520</v>
      </c>
      <c r="M16" s="34">
        <f t="shared" si="1"/>
        <v>0</v>
      </c>
      <c r="N16" s="34">
        <f t="shared" si="2"/>
        <v>0</v>
      </c>
      <c r="O16" s="34">
        <v>0</v>
      </c>
      <c r="P16" s="34">
        <v>0</v>
      </c>
      <c r="Q16" s="34">
        <f>10134*Q38</f>
        <v>304020</v>
      </c>
      <c r="S16" s="125">
        <v>475</v>
      </c>
      <c r="T16" s="172">
        <f t="shared" si="4"/>
        <v>115570</v>
      </c>
      <c r="U16" s="172"/>
    </row>
    <row r="17" spans="1:21" ht="21" customHeight="1">
      <c r="A17" s="59">
        <v>7</v>
      </c>
      <c r="B17" s="44" t="s">
        <v>66</v>
      </c>
      <c r="C17" s="35">
        <v>95881</v>
      </c>
      <c r="D17" s="35">
        <v>8000</v>
      </c>
      <c r="E17" s="35">
        <v>96458</v>
      </c>
      <c r="F17" s="35">
        <v>96490</v>
      </c>
      <c r="G17" s="35">
        <f t="shared" si="3"/>
        <v>32</v>
      </c>
      <c r="H17" s="35">
        <f t="shared" si="0"/>
        <v>609</v>
      </c>
      <c r="I17" s="35">
        <v>145500</v>
      </c>
      <c r="J17" s="35"/>
      <c r="K17" s="35">
        <v>145500</v>
      </c>
      <c r="L17" s="35">
        <v>145500</v>
      </c>
      <c r="M17" s="35">
        <f t="shared" si="1"/>
        <v>0</v>
      </c>
      <c r="N17" s="35">
        <f t="shared" si="2"/>
        <v>0</v>
      </c>
      <c r="O17" s="35">
        <v>0</v>
      </c>
      <c r="P17" s="35">
        <v>0</v>
      </c>
      <c r="Q17" s="35">
        <f>3180*Q38</f>
        <v>95400</v>
      </c>
      <c r="S17" s="125">
        <v>-118</v>
      </c>
      <c r="T17" s="172">
        <f t="shared" si="4"/>
        <v>96372</v>
      </c>
      <c r="U17" s="172"/>
    </row>
    <row r="18" spans="1:21" ht="21" customHeight="1">
      <c r="A18" s="60">
        <v>8</v>
      </c>
      <c r="B18" s="45" t="s">
        <v>67</v>
      </c>
      <c r="C18" s="33">
        <v>26405</v>
      </c>
      <c r="D18" s="33">
        <v>6250</v>
      </c>
      <c r="E18" s="33">
        <v>27664</v>
      </c>
      <c r="F18" s="33">
        <v>27693</v>
      </c>
      <c r="G18" s="33">
        <f t="shared" si="3"/>
        <v>29</v>
      </c>
      <c r="H18" s="33">
        <f t="shared" si="0"/>
        <v>1288</v>
      </c>
      <c r="I18" s="33">
        <v>42930</v>
      </c>
      <c r="J18" s="33"/>
      <c r="K18" s="33">
        <v>42930</v>
      </c>
      <c r="L18" s="33">
        <v>42930</v>
      </c>
      <c r="M18" s="33">
        <f t="shared" si="1"/>
        <v>0</v>
      </c>
      <c r="N18" s="33">
        <f t="shared" si="2"/>
        <v>0</v>
      </c>
      <c r="O18" s="33">
        <v>0</v>
      </c>
      <c r="P18" s="33">
        <v>0</v>
      </c>
      <c r="Q18" s="33">
        <f>1431*Q38</f>
        <v>42930</v>
      </c>
      <c r="S18" s="125">
        <v>-34</v>
      </c>
      <c r="T18" s="172">
        <f t="shared" si="4"/>
        <v>27659</v>
      </c>
      <c r="U18" s="172"/>
    </row>
    <row r="19" spans="1:21" ht="21" customHeight="1">
      <c r="A19" s="61">
        <v>9</v>
      </c>
      <c r="B19" s="46" t="s">
        <v>33</v>
      </c>
      <c r="C19" s="34">
        <v>52392</v>
      </c>
      <c r="D19" s="34">
        <v>5000</v>
      </c>
      <c r="E19" s="34">
        <v>35005</v>
      </c>
      <c r="F19" s="34">
        <v>35249</v>
      </c>
      <c r="G19" s="34">
        <f t="shared" si="3"/>
        <v>244</v>
      </c>
      <c r="H19" s="34">
        <f t="shared" si="0"/>
        <v>-17143</v>
      </c>
      <c r="I19" s="34">
        <v>82770</v>
      </c>
      <c r="J19" s="34"/>
      <c r="K19" s="34">
        <v>82770</v>
      </c>
      <c r="L19" s="34">
        <v>82770</v>
      </c>
      <c r="M19" s="34">
        <f t="shared" si="1"/>
        <v>0</v>
      </c>
      <c r="N19" s="34">
        <f t="shared" si="2"/>
        <v>0</v>
      </c>
      <c r="O19" s="34">
        <v>0</v>
      </c>
      <c r="P19" s="34">
        <v>0</v>
      </c>
      <c r="Q19" s="34">
        <v>54000</v>
      </c>
      <c r="S19" s="125">
        <v>117</v>
      </c>
      <c r="T19" s="172">
        <f t="shared" si="4"/>
        <v>35366</v>
      </c>
      <c r="U19" s="172"/>
    </row>
    <row r="20" spans="1:21" ht="21" customHeight="1">
      <c r="A20" s="59">
        <v>10</v>
      </c>
      <c r="B20" s="44" t="s">
        <v>6</v>
      </c>
      <c r="C20" s="35">
        <v>52994</v>
      </c>
      <c r="D20" s="35">
        <v>15000</v>
      </c>
      <c r="E20" s="35">
        <v>52208</v>
      </c>
      <c r="F20" s="35">
        <v>52575</v>
      </c>
      <c r="G20" s="35">
        <f t="shared" si="3"/>
        <v>367</v>
      </c>
      <c r="H20" s="35">
        <f t="shared" si="0"/>
        <v>-419</v>
      </c>
      <c r="I20" s="35">
        <v>90360</v>
      </c>
      <c r="J20" s="35"/>
      <c r="K20" s="35">
        <v>90360</v>
      </c>
      <c r="L20" s="35">
        <v>90360</v>
      </c>
      <c r="M20" s="35">
        <f t="shared" si="1"/>
        <v>0</v>
      </c>
      <c r="N20" s="35">
        <f t="shared" si="2"/>
        <v>0</v>
      </c>
      <c r="O20" s="35">
        <v>0</v>
      </c>
      <c r="P20" s="35">
        <v>0</v>
      </c>
      <c r="Q20" s="35">
        <f>3012*Q38</f>
        <v>90360</v>
      </c>
      <c r="S20" s="125">
        <v>179</v>
      </c>
      <c r="T20" s="172">
        <f t="shared" si="4"/>
        <v>52754</v>
      </c>
      <c r="U20" s="172"/>
    </row>
    <row r="21" spans="1:21" ht="21" customHeight="1">
      <c r="A21" s="60">
        <v>11</v>
      </c>
      <c r="B21" s="45" t="s">
        <v>34</v>
      </c>
      <c r="C21" s="33">
        <v>215835</v>
      </c>
      <c r="D21" s="33">
        <v>35000</v>
      </c>
      <c r="E21" s="33">
        <v>222517</v>
      </c>
      <c r="F21" s="33">
        <v>220860</v>
      </c>
      <c r="G21" s="33">
        <f t="shared" si="3"/>
        <v>-1657</v>
      </c>
      <c r="H21" s="33">
        <f t="shared" si="0"/>
        <v>5025</v>
      </c>
      <c r="I21" s="33">
        <v>363840</v>
      </c>
      <c r="J21" s="33"/>
      <c r="K21" s="33">
        <v>363840</v>
      </c>
      <c r="L21" s="33">
        <v>363840</v>
      </c>
      <c r="M21" s="33">
        <f t="shared" si="1"/>
        <v>0</v>
      </c>
      <c r="N21" s="33">
        <f t="shared" si="2"/>
        <v>0</v>
      </c>
      <c r="O21" s="33">
        <v>0</v>
      </c>
      <c r="P21" s="33">
        <v>0</v>
      </c>
      <c r="Q21" s="33">
        <f>13208*Q38</f>
        <v>396240</v>
      </c>
      <c r="S21" s="125">
        <v>123</v>
      </c>
      <c r="T21" s="172">
        <f t="shared" si="4"/>
        <v>220983</v>
      </c>
      <c r="U21" s="172"/>
    </row>
    <row r="22" spans="1:21" ht="21" customHeight="1">
      <c r="A22" s="61">
        <v>12</v>
      </c>
      <c r="B22" s="46" t="s">
        <v>35</v>
      </c>
      <c r="C22" s="34">
        <v>488135</v>
      </c>
      <c r="D22" s="34">
        <v>75000</v>
      </c>
      <c r="E22" s="34">
        <v>565713</v>
      </c>
      <c r="F22" s="34">
        <v>567100</v>
      </c>
      <c r="G22" s="34">
        <f t="shared" si="3"/>
        <v>1387</v>
      </c>
      <c r="H22" s="34">
        <f t="shared" si="0"/>
        <v>78965</v>
      </c>
      <c r="I22" s="34">
        <v>343980</v>
      </c>
      <c r="J22" s="34"/>
      <c r="K22" s="34">
        <v>343980</v>
      </c>
      <c r="L22" s="34">
        <v>343980</v>
      </c>
      <c r="M22" s="34">
        <f t="shared" si="1"/>
        <v>0</v>
      </c>
      <c r="N22" s="34">
        <f t="shared" si="2"/>
        <v>0</v>
      </c>
      <c r="O22" s="34">
        <v>0</v>
      </c>
      <c r="P22" s="34">
        <v>0</v>
      </c>
      <c r="Q22" s="34">
        <f>12486*Q38</f>
        <v>374580</v>
      </c>
      <c r="S22" s="125">
        <v>6151</v>
      </c>
      <c r="T22" s="172">
        <f t="shared" si="4"/>
        <v>573251</v>
      </c>
      <c r="U22" s="172"/>
    </row>
    <row r="23" spans="1:21" ht="21" customHeight="1">
      <c r="A23" s="59">
        <v>13</v>
      </c>
      <c r="B23" s="44" t="s">
        <v>68</v>
      </c>
      <c r="C23" s="35">
        <v>216166</v>
      </c>
      <c r="D23" s="35">
        <v>20000</v>
      </c>
      <c r="E23" s="35">
        <v>217812</v>
      </c>
      <c r="F23" s="35">
        <v>217527</v>
      </c>
      <c r="G23" s="35">
        <f t="shared" si="3"/>
        <v>-285</v>
      </c>
      <c r="H23" s="35">
        <f t="shared" si="0"/>
        <v>1361</v>
      </c>
      <c r="I23" s="35">
        <v>257400</v>
      </c>
      <c r="J23" s="35"/>
      <c r="K23" s="35">
        <v>257400</v>
      </c>
      <c r="L23" s="35">
        <v>257400</v>
      </c>
      <c r="M23" s="35">
        <f t="shared" si="1"/>
        <v>0</v>
      </c>
      <c r="N23" s="35">
        <f t="shared" si="2"/>
        <v>0</v>
      </c>
      <c r="O23" s="35">
        <v>0</v>
      </c>
      <c r="P23" s="35">
        <v>0</v>
      </c>
      <c r="Q23" s="35">
        <f>9240*Q38</f>
        <v>277200</v>
      </c>
      <c r="S23" s="125">
        <v>222</v>
      </c>
      <c r="T23" s="172">
        <f t="shared" si="4"/>
        <v>217749</v>
      </c>
      <c r="U23" s="172"/>
    </row>
    <row r="24" spans="1:21" ht="21" customHeight="1">
      <c r="A24" s="60">
        <v>14</v>
      </c>
      <c r="B24" s="45" t="s">
        <v>36</v>
      </c>
      <c r="C24" s="33">
        <v>338410</v>
      </c>
      <c r="D24" s="33">
        <v>30000</v>
      </c>
      <c r="E24" s="33">
        <v>347886</v>
      </c>
      <c r="F24" s="33">
        <v>345200</v>
      </c>
      <c r="G24" s="33">
        <f t="shared" si="3"/>
        <v>-2686</v>
      </c>
      <c r="H24" s="33">
        <f t="shared" si="0"/>
        <v>6790</v>
      </c>
      <c r="I24" s="33">
        <v>538260</v>
      </c>
      <c r="J24" s="33"/>
      <c r="K24" s="33">
        <v>538260</v>
      </c>
      <c r="L24" s="33">
        <v>538260</v>
      </c>
      <c r="M24" s="33">
        <f t="shared" si="1"/>
        <v>0</v>
      </c>
      <c r="N24" s="33">
        <f t="shared" si="2"/>
        <v>0</v>
      </c>
      <c r="O24" s="33">
        <v>0</v>
      </c>
      <c r="P24" s="33">
        <v>0</v>
      </c>
      <c r="Q24" s="33">
        <f>19478*Q38</f>
        <v>584340</v>
      </c>
      <c r="S24" s="125">
        <v>-318</v>
      </c>
      <c r="T24" s="172">
        <f t="shared" si="4"/>
        <v>344882</v>
      </c>
      <c r="U24" s="172"/>
    </row>
    <row r="25" spans="1:21" ht="21" customHeight="1">
      <c r="A25" s="61">
        <v>15</v>
      </c>
      <c r="B25" s="46" t="s">
        <v>13</v>
      </c>
      <c r="C25" s="34">
        <v>182453</v>
      </c>
      <c r="D25" s="34">
        <v>6250</v>
      </c>
      <c r="E25" s="34">
        <v>175624</v>
      </c>
      <c r="F25" s="34">
        <v>169822</v>
      </c>
      <c r="G25" s="34">
        <f t="shared" si="3"/>
        <v>-5802</v>
      </c>
      <c r="H25" s="34">
        <f t="shared" si="0"/>
        <v>-12631</v>
      </c>
      <c r="I25" s="34">
        <v>80370</v>
      </c>
      <c r="J25" s="34"/>
      <c r="K25" s="34">
        <v>80370</v>
      </c>
      <c r="L25" s="34">
        <v>80370</v>
      </c>
      <c r="M25" s="34">
        <f t="shared" si="1"/>
        <v>0</v>
      </c>
      <c r="N25" s="34">
        <f t="shared" si="2"/>
        <v>0</v>
      </c>
      <c r="O25" s="34">
        <v>0</v>
      </c>
      <c r="P25" s="34">
        <v>0</v>
      </c>
      <c r="Q25" s="34">
        <f>930*Q38</f>
        <v>27900</v>
      </c>
      <c r="S25" s="125">
        <v>115</v>
      </c>
      <c r="T25" s="172">
        <f t="shared" si="4"/>
        <v>169937</v>
      </c>
      <c r="U25" s="172"/>
    </row>
    <row r="26" spans="1:21" ht="21" customHeight="1">
      <c r="A26" s="60">
        <v>16</v>
      </c>
      <c r="B26" s="45" t="s">
        <v>12</v>
      </c>
      <c r="C26" s="35">
        <v>21262</v>
      </c>
      <c r="D26" s="35">
        <v>3125</v>
      </c>
      <c r="E26" s="35">
        <v>21937</v>
      </c>
      <c r="F26" s="35">
        <v>22548</v>
      </c>
      <c r="G26" s="35">
        <f t="shared" si="3"/>
        <v>611</v>
      </c>
      <c r="H26" s="35">
        <f t="shared" si="0"/>
        <v>1286</v>
      </c>
      <c r="I26" s="33">
        <v>43290</v>
      </c>
      <c r="J26" s="33"/>
      <c r="K26" s="33">
        <v>43290</v>
      </c>
      <c r="L26" s="33">
        <v>43290</v>
      </c>
      <c r="M26" s="35">
        <f t="shared" si="1"/>
        <v>0</v>
      </c>
      <c r="N26" s="35">
        <f t="shared" si="2"/>
        <v>0</v>
      </c>
      <c r="O26" s="33">
        <v>0</v>
      </c>
      <c r="P26" s="33">
        <v>0</v>
      </c>
      <c r="Q26" s="33">
        <f>720*Q38</f>
        <v>21600</v>
      </c>
      <c r="S26" s="125">
        <v>-5</v>
      </c>
      <c r="T26" s="172">
        <f t="shared" si="4"/>
        <v>22543</v>
      </c>
      <c r="U26" s="172"/>
    </row>
    <row r="27" spans="1:21" ht="21" customHeight="1">
      <c r="A27" s="60">
        <v>17</v>
      </c>
      <c r="B27" s="45" t="s">
        <v>69</v>
      </c>
      <c r="C27" s="33">
        <v>65202</v>
      </c>
      <c r="D27" s="33">
        <v>6250</v>
      </c>
      <c r="E27" s="33">
        <v>67062</v>
      </c>
      <c r="F27" s="33">
        <v>67455</v>
      </c>
      <c r="G27" s="33">
        <f t="shared" si="3"/>
        <v>393</v>
      </c>
      <c r="H27" s="33">
        <f t="shared" si="0"/>
        <v>2253</v>
      </c>
      <c r="I27" s="33">
        <v>81660</v>
      </c>
      <c r="J27" s="33"/>
      <c r="K27" s="33">
        <v>81660</v>
      </c>
      <c r="L27" s="33">
        <v>81660</v>
      </c>
      <c r="M27" s="33">
        <f t="shared" si="1"/>
        <v>0</v>
      </c>
      <c r="N27" s="33">
        <f t="shared" si="2"/>
        <v>0</v>
      </c>
      <c r="O27" s="33">
        <v>0</v>
      </c>
      <c r="P27" s="33">
        <v>0</v>
      </c>
      <c r="Q27" s="33">
        <f>2238*Q38</f>
        <v>67140</v>
      </c>
      <c r="S27" s="125">
        <v>96</v>
      </c>
      <c r="T27" s="172">
        <f t="shared" si="4"/>
        <v>67551</v>
      </c>
      <c r="U27" s="172"/>
    </row>
    <row r="28" spans="1:21" ht="21" customHeight="1">
      <c r="A28" s="61">
        <v>18</v>
      </c>
      <c r="B28" s="46" t="s">
        <v>37</v>
      </c>
      <c r="C28" s="34">
        <v>222552</v>
      </c>
      <c r="D28" s="34">
        <v>50000</v>
      </c>
      <c r="E28" s="34">
        <v>231576</v>
      </c>
      <c r="F28" s="34">
        <v>231576</v>
      </c>
      <c r="G28" s="34">
        <f t="shared" si="3"/>
        <v>0</v>
      </c>
      <c r="H28" s="34">
        <f t="shared" si="0"/>
        <v>9024</v>
      </c>
      <c r="I28" s="34">
        <v>233280</v>
      </c>
      <c r="J28" s="34"/>
      <c r="K28" s="34">
        <v>233280</v>
      </c>
      <c r="L28" s="34">
        <v>233280</v>
      </c>
      <c r="M28" s="34">
        <f t="shared" si="1"/>
        <v>0</v>
      </c>
      <c r="N28" s="34">
        <f t="shared" si="2"/>
        <v>0</v>
      </c>
      <c r="O28" s="34">
        <v>0</v>
      </c>
      <c r="P28" s="34">
        <v>0</v>
      </c>
      <c r="Q28" s="34">
        <v>155520</v>
      </c>
      <c r="S28" s="125">
        <v>414</v>
      </c>
      <c r="T28" s="172">
        <f t="shared" si="4"/>
        <v>231990</v>
      </c>
      <c r="U28" s="172"/>
    </row>
    <row r="29" spans="1:21" ht="21" customHeight="1">
      <c r="A29" s="59">
        <v>19</v>
      </c>
      <c r="B29" s="44" t="s">
        <v>70</v>
      </c>
      <c r="C29" s="35">
        <v>193432</v>
      </c>
      <c r="D29" s="35">
        <v>60000</v>
      </c>
      <c r="E29" s="35">
        <v>201203</v>
      </c>
      <c r="F29" s="35">
        <v>201518</v>
      </c>
      <c r="G29" s="35">
        <f t="shared" si="3"/>
        <v>315</v>
      </c>
      <c r="H29" s="35">
        <f t="shared" si="0"/>
        <v>8086</v>
      </c>
      <c r="I29" s="35">
        <v>192420</v>
      </c>
      <c r="J29" s="35"/>
      <c r="K29" s="35">
        <v>192420</v>
      </c>
      <c r="L29" s="35">
        <v>192420</v>
      </c>
      <c r="M29" s="35">
        <f t="shared" si="1"/>
        <v>0</v>
      </c>
      <c r="N29" s="35">
        <f t="shared" si="2"/>
        <v>0</v>
      </c>
      <c r="O29" s="35">
        <v>0</v>
      </c>
      <c r="P29" s="35">
        <v>0</v>
      </c>
      <c r="Q29" s="35">
        <f>4614*Q38</f>
        <v>138420</v>
      </c>
      <c r="S29" s="125">
        <v>479</v>
      </c>
      <c r="T29" s="172">
        <f t="shared" si="4"/>
        <v>201997</v>
      </c>
      <c r="U29" s="172"/>
    </row>
    <row r="30" spans="1:21" ht="21" customHeight="1">
      <c r="A30" s="60">
        <v>20</v>
      </c>
      <c r="B30" s="45" t="s">
        <v>71</v>
      </c>
      <c r="C30" s="33">
        <v>182241</v>
      </c>
      <c r="D30" s="33">
        <v>31250</v>
      </c>
      <c r="E30" s="33">
        <v>191777</v>
      </c>
      <c r="F30" s="33">
        <v>192771</v>
      </c>
      <c r="G30" s="33">
        <f t="shared" si="3"/>
        <v>994</v>
      </c>
      <c r="H30" s="33">
        <f t="shared" si="0"/>
        <v>10530</v>
      </c>
      <c r="I30" s="33">
        <v>231240</v>
      </c>
      <c r="J30" s="33"/>
      <c r="K30" s="33">
        <v>231240</v>
      </c>
      <c r="L30" s="33">
        <v>231240</v>
      </c>
      <c r="M30" s="33">
        <f t="shared" si="1"/>
        <v>0</v>
      </c>
      <c r="N30" s="33">
        <f t="shared" si="2"/>
        <v>0</v>
      </c>
      <c r="O30" s="33">
        <v>0</v>
      </c>
      <c r="P30" s="33">
        <v>0</v>
      </c>
      <c r="Q30" s="33">
        <f>5374*Q38</f>
        <v>161220</v>
      </c>
      <c r="S30" s="125">
        <v>602</v>
      </c>
      <c r="T30" s="172">
        <f t="shared" si="4"/>
        <v>193373</v>
      </c>
      <c r="U30" s="172"/>
    </row>
    <row r="31" spans="1:21" ht="21" customHeight="1">
      <c r="A31" s="61">
        <v>21</v>
      </c>
      <c r="B31" s="46" t="s">
        <v>72</v>
      </c>
      <c r="C31" s="34">
        <v>58445</v>
      </c>
      <c r="D31" s="34">
        <v>6250</v>
      </c>
      <c r="E31" s="34">
        <v>49948</v>
      </c>
      <c r="F31" s="34">
        <v>49550</v>
      </c>
      <c r="G31" s="34">
        <f t="shared" si="3"/>
        <v>-398</v>
      </c>
      <c r="H31" s="34">
        <f t="shared" si="0"/>
        <v>-8895</v>
      </c>
      <c r="I31" s="34">
        <v>55800</v>
      </c>
      <c r="J31" s="34"/>
      <c r="K31" s="34">
        <v>55800</v>
      </c>
      <c r="L31" s="34">
        <v>55800</v>
      </c>
      <c r="M31" s="34">
        <f t="shared" si="1"/>
        <v>0</v>
      </c>
      <c r="N31" s="34">
        <f t="shared" si="2"/>
        <v>0</v>
      </c>
      <c r="O31" s="34">
        <v>0</v>
      </c>
      <c r="P31" s="34">
        <v>0</v>
      </c>
      <c r="Q31" s="34">
        <f>2070*Q38</f>
        <v>62100</v>
      </c>
      <c r="S31" s="125">
        <v>47</v>
      </c>
      <c r="T31" s="172">
        <f t="shared" si="4"/>
        <v>49597</v>
      </c>
      <c r="U31" s="172"/>
    </row>
    <row r="32" spans="1:21" ht="21" customHeight="1">
      <c r="A32" s="59">
        <v>22</v>
      </c>
      <c r="B32" s="44" t="s">
        <v>7</v>
      </c>
      <c r="C32" s="35">
        <v>117387</v>
      </c>
      <c r="D32" s="35">
        <v>12500</v>
      </c>
      <c r="E32" s="35">
        <v>121115</v>
      </c>
      <c r="F32" s="35">
        <v>121671</v>
      </c>
      <c r="G32" s="35">
        <f t="shared" si="3"/>
        <v>556</v>
      </c>
      <c r="H32" s="35">
        <f t="shared" si="0"/>
        <v>4284</v>
      </c>
      <c r="I32" s="35">
        <v>227520</v>
      </c>
      <c r="J32" s="35"/>
      <c r="K32" s="35">
        <v>227520</v>
      </c>
      <c r="L32" s="35">
        <v>227520</v>
      </c>
      <c r="M32" s="35">
        <f t="shared" si="1"/>
        <v>0</v>
      </c>
      <c r="N32" s="35">
        <f t="shared" si="2"/>
        <v>0</v>
      </c>
      <c r="O32" s="35">
        <v>0</v>
      </c>
      <c r="P32" s="35">
        <v>0</v>
      </c>
      <c r="Q32" s="35">
        <v>66060</v>
      </c>
      <c r="S32" s="125">
        <v>-208</v>
      </c>
      <c r="T32" s="172">
        <f t="shared" si="4"/>
        <v>121463</v>
      </c>
      <c r="U32" s="172"/>
    </row>
    <row r="33" spans="1:21" ht="21" customHeight="1">
      <c r="A33" s="60">
        <v>23</v>
      </c>
      <c r="B33" s="45" t="s">
        <v>8</v>
      </c>
      <c r="C33" s="33">
        <v>118891</v>
      </c>
      <c r="D33" s="33">
        <v>12500</v>
      </c>
      <c r="E33" s="33">
        <v>114551</v>
      </c>
      <c r="F33" s="33">
        <v>114169</v>
      </c>
      <c r="G33" s="33">
        <f t="shared" si="3"/>
        <v>-382</v>
      </c>
      <c r="H33" s="33">
        <f t="shared" si="0"/>
        <v>-4722</v>
      </c>
      <c r="I33" s="33">
        <v>155010</v>
      </c>
      <c r="J33" s="33"/>
      <c r="K33" s="33">
        <v>155010</v>
      </c>
      <c r="L33" s="33">
        <v>155010</v>
      </c>
      <c r="M33" s="33">
        <f t="shared" si="1"/>
        <v>0</v>
      </c>
      <c r="N33" s="33">
        <f t="shared" si="2"/>
        <v>0</v>
      </c>
      <c r="O33" s="33">
        <v>0</v>
      </c>
      <c r="P33" s="33">
        <v>0</v>
      </c>
      <c r="Q33" s="33">
        <v>110000</v>
      </c>
      <c r="S33" s="125">
        <v>-292</v>
      </c>
      <c r="T33" s="172">
        <f t="shared" si="4"/>
        <v>113877</v>
      </c>
      <c r="U33" s="172"/>
    </row>
    <row r="34" spans="1:21" ht="21" customHeight="1">
      <c r="A34" s="61">
        <v>24</v>
      </c>
      <c r="B34" s="46" t="s">
        <v>40</v>
      </c>
      <c r="C34" s="34">
        <v>63882</v>
      </c>
      <c r="D34" s="34">
        <v>10000</v>
      </c>
      <c r="E34" s="34">
        <v>64823</v>
      </c>
      <c r="F34" s="34">
        <v>64762</v>
      </c>
      <c r="G34" s="34">
        <f t="shared" si="3"/>
        <v>-61</v>
      </c>
      <c r="H34" s="34">
        <f t="shared" si="0"/>
        <v>880</v>
      </c>
      <c r="I34" s="34">
        <v>117000</v>
      </c>
      <c r="J34" s="34"/>
      <c r="K34" s="34">
        <v>117000</v>
      </c>
      <c r="L34" s="34">
        <v>117000</v>
      </c>
      <c r="M34" s="34">
        <f t="shared" si="1"/>
        <v>0</v>
      </c>
      <c r="N34" s="34">
        <f t="shared" si="2"/>
        <v>0</v>
      </c>
      <c r="O34" s="34">
        <v>0</v>
      </c>
      <c r="P34" s="34">
        <v>0</v>
      </c>
      <c r="Q34" s="34">
        <f>4800*Q38</f>
        <v>144000</v>
      </c>
      <c r="S34" s="125">
        <v>-129</v>
      </c>
      <c r="T34" s="172">
        <f t="shared" si="4"/>
        <v>64633</v>
      </c>
      <c r="U34" s="172"/>
    </row>
    <row r="35" spans="1:21" ht="21" customHeight="1">
      <c r="A35" s="59">
        <v>25</v>
      </c>
      <c r="B35" s="44" t="s">
        <v>9</v>
      </c>
      <c r="C35" s="35">
        <v>342167</v>
      </c>
      <c r="D35" s="35">
        <v>45000</v>
      </c>
      <c r="E35" s="35">
        <v>348733</v>
      </c>
      <c r="F35" s="35">
        <v>349139</v>
      </c>
      <c r="G35" s="35">
        <f t="shared" si="3"/>
        <v>406</v>
      </c>
      <c r="H35" s="35">
        <f t="shared" si="0"/>
        <v>6972</v>
      </c>
      <c r="I35" s="35">
        <v>544470</v>
      </c>
      <c r="J35" s="35"/>
      <c r="K35" s="35">
        <v>544470</v>
      </c>
      <c r="L35" s="35">
        <v>544470</v>
      </c>
      <c r="M35" s="35">
        <f t="shared" si="1"/>
        <v>0</v>
      </c>
      <c r="N35" s="35">
        <f t="shared" si="2"/>
        <v>0</v>
      </c>
      <c r="O35" s="35">
        <v>0</v>
      </c>
      <c r="P35" s="35">
        <v>0</v>
      </c>
      <c r="Q35" s="35">
        <f>7524*Q38</f>
        <v>225720</v>
      </c>
      <c r="S35" s="125">
        <v>531</v>
      </c>
      <c r="T35" s="172">
        <f t="shared" si="4"/>
        <v>349670</v>
      </c>
      <c r="U35" s="172"/>
    </row>
    <row r="36" spans="1:21" ht="21" customHeight="1">
      <c r="A36" s="61">
        <v>26</v>
      </c>
      <c r="B36" s="46" t="s">
        <v>10</v>
      </c>
      <c r="C36" s="34">
        <v>202450</v>
      </c>
      <c r="D36" s="34">
        <v>20000</v>
      </c>
      <c r="E36" s="34">
        <v>224731</v>
      </c>
      <c r="F36" s="34">
        <v>225038</v>
      </c>
      <c r="G36" s="33">
        <f t="shared" si="3"/>
        <v>307</v>
      </c>
      <c r="H36" s="33">
        <f t="shared" si="0"/>
        <v>22588</v>
      </c>
      <c r="I36" s="34">
        <v>210600</v>
      </c>
      <c r="J36" s="34"/>
      <c r="K36" s="34">
        <v>210600</v>
      </c>
      <c r="L36" s="34">
        <v>210600</v>
      </c>
      <c r="M36" s="33">
        <f t="shared" si="1"/>
        <v>0</v>
      </c>
      <c r="N36" s="33">
        <f t="shared" si="2"/>
        <v>0</v>
      </c>
      <c r="O36" s="33">
        <v>0</v>
      </c>
      <c r="P36" s="33">
        <v>0</v>
      </c>
      <c r="Q36" s="34">
        <f>288*Q38</f>
        <v>8640</v>
      </c>
      <c r="S36" s="125">
        <v>-101</v>
      </c>
      <c r="T36" s="172">
        <f t="shared" si="4"/>
        <v>224937</v>
      </c>
      <c r="U36" s="172"/>
    </row>
    <row r="37" spans="1:19" s="127" customFormat="1" ht="21" customHeight="1">
      <c r="A37" s="137"/>
      <c r="B37" s="137" t="s">
        <v>11</v>
      </c>
      <c r="C37" s="138">
        <f aca="true" t="shared" si="5" ref="C37:N37">SUM(C11:C36)</f>
        <v>3727550</v>
      </c>
      <c r="D37" s="138">
        <f t="shared" si="5"/>
        <v>487500</v>
      </c>
      <c r="E37" s="138">
        <f t="shared" si="5"/>
        <v>3863981</v>
      </c>
      <c r="F37" s="138">
        <f t="shared" si="5"/>
        <v>3857992</v>
      </c>
      <c r="G37" s="138">
        <f t="shared" si="5"/>
        <v>-5989</v>
      </c>
      <c r="H37" s="138">
        <f t="shared" si="5"/>
        <v>130442</v>
      </c>
      <c r="I37" s="138">
        <f t="shared" si="5"/>
        <v>4854270</v>
      </c>
      <c r="J37" s="138"/>
      <c r="K37" s="138">
        <f t="shared" si="5"/>
        <v>4854270</v>
      </c>
      <c r="L37" s="138">
        <f t="shared" si="5"/>
        <v>4854270</v>
      </c>
      <c r="M37" s="138">
        <f t="shared" si="5"/>
        <v>0</v>
      </c>
      <c r="N37" s="138">
        <f t="shared" si="5"/>
        <v>0</v>
      </c>
      <c r="O37" s="138">
        <f>SUM(O11:O36)</f>
        <v>0</v>
      </c>
      <c r="P37" s="138">
        <f>SUM(P11:P36)</f>
        <v>0</v>
      </c>
      <c r="Q37" s="138">
        <f>SUM(Q11:Q36)</f>
        <v>3828158</v>
      </c>
      <c r="S37" s="127">
        <f>SUM(S11:S36)</f>
        <v>7385</v>
      </c>
    </row>
    <row r="38" spans="1:17" s="127" customFormat="1" ht="18" customHeight="1">
      <c r="A38" s="139"/>
      <c r="B38" s="130" t="s">
        <v>110</v>
      </c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Q38" s="140">
        <v>30</v>
      </c>
    </row>
    <row r="39" spans="1:14" ht="12" customHeight="1">
      <c r="A39" s="141"/>
      <c r="B39" s="141"/>
      <c r="C39" s="141"/>
      <c r="D39" s="141"/>
      <c r="E39" s="141"/>
      <c r="F39" s="188"/>
      <c r="G39" s="141"/>
      <c r="H39" s="142"/>
      <c r="I39" s="141"/>
      <c r="J39" s="141"/>
      <c r="K39" s="141"/>
      <c r="L39" s="141"/>
      <c r="M39" s="141"/>
      <c r="N39" s="141"/>
    </row>
    <row r="40" spans="1:14" ht="18" customHeight="1">
      <c r="A40" s="141"/>
      <c r="B40" s="143" t="s">
        <v>30</v>
      </c>
      <c r="C40" s="144"/>
      <c r="D40" s="144"/>
      <c r="E40" s="189"/>
      <c r="F40" s="166"/>
      <c r="G40" s="145"/>
      <c r="H40" s="146"/>
      <c r="I40" s="145"/>
      <c r="J40" s="145"/>
      <c r="K40" s="145"/>
      <c r="L40" s="185"/>
      <c r="M40" s="145"/>
      <c r="N40" s="145"/>
    </row>
    <row r="41" spans="1:14" ht="17.25" customHeight="1">
      <c r="A41" s="141"/>
      <c r="B41" s="143" t="s">
        <v>15</v>
      </c>
      <c r="C41" s="147"/>
      <c r="D41" s="147"/>
      <c r="E41" s="147"/>
      <c r="F41" s="147"/>
      <c r="G41" s="147"/>
      <c r="H41" s="142"/>
      <c r="K41" s="145"/>
      <c r="L41" s="145"/>
      <c r="M41" s="145"/>
      <c r="N41" s="145"/>
    </row>
    <row r="42" spans="1:14" ht="18" customHeight="1">
      <c r="A42" s="141"/>
      <c r="B42" s="148" t="s">
        <v>58</v>
      </c>
      <c r="C42" s="145"/>
      <c r="D42" s="145"/>
      <c r="E42" s="145"/>
      <c r="F42" s="147"/>
      <c r="G42" s="147"/>
      <c r="H42" s="149"/>
      <c r="K42" s="147"/>
      <c r="L42" s="147"/>
      <c r="M42" s="147"/>
      <c r="N42" s="147"/>
    </row>
    <row r="43" spans="1:14" ht="18" customHeight="1">
      <c r="A43" s="141"/>
      <c r="B43" s="148"/>
      <c r="C43" s="147"/>
      <c r="D43" s="147"/>
      <c r="E43" s="147"/>
      <c r="F43" s="147"/>
      <c r="G43" s="147"/>
      <c r="H43" s="149"/>
      <c r="K43" s="147"/>
      <c r="L43" s="147"/>
      <c r="M43" s="147"/>
      <c r="N43" s="147"/>
    </row>
    <row r="44" spans="1:14" ht="18" customHeight="1">
      <c r="A44" s="141"/>
      <c r="B44" s="143"/>
      <c r="C44" s="147"/>
      <c r="D44" s="147"/>
      <c r="E44" s="147"/>
      <c r="F44" s="147"/>
      <c r="G44" s="147"/>
      <c r="H44" s="149"/>
      <c r="I44" s="147"/>
      <c r="J44" s="147"/>
      <c r="K44" s="126"/>
      <c r="L44" s="126"/>
      <c r="M44" s="126"/>
      <c r="N44" s="126"/>
    </row>
    <row r="45" spans="1:8" ht="18" customHeight="1">
      <c r="A45" s="141"/>
      <c r="B45" s="132"/>
      <c r="H45" s="146"/>
    </row>
    <row r="46" spans="1:8" ht="19.5" customHeight="1">
      <c r="A46" s="132"/>
      <c r="B46" s="132"/>
      <c r="H46" s="146"/>
    </row>
    <row r="47" spans="1:14" ht="15.75">
      <c r="A47" s="132"/>
      <c r="B47" s="126"/>
      <c r="C47" s="150"/>
      <c r="D47" s="150"/>
      <c r="E47" s="150"/>
      <c r="F47" s="150"/>
      <c r="G47" s="150"/>
      <c r="H47" s="149"/>
      <c r="I47" s="150"/>
      <c r="J47" s="150"/>
      <c r="K47" s="150"/>
      <c r="L47" s="150"/>
      <c r="M47" s="150"/>
      <c r="N47" s="150"/>
    </row>
    <row r="48" spans="1:14" ht="18">
      <c r="A48" s="132"/>
      <c r="B48" s="126"/>
      <c r="C48" s="126"/>
      <c r="D48" s="126"/>
      <c r="E48" s="126"/>
      <c r="F48" s="126"/>
      <c r="G48" s="126"/>
      <c r="H48" s="149"/>
      <c r="I48" s="147"/>
      <c r="J48" s="147"/>
      <c r="K48" s="126"/>
      <c r="L48" s="126"/>
      <c r="M48" s="126"/>
      <c r="N48" s="126"/>
    </row>
    <row r="49" spans="1:14" ht="18">
      <c r="A49" s="132"/>
      <c r="B49" s="126"/>
      <c r="C49" s="126"/>
      <c r="D49" s="126"/>
      <c r="E49" s="126"/>
      <c r="F49" s="126"/>
      <c r="G49" s="126"/>
      <c r="H49" s="149"/>
      <c r="I49" s="147"/>
      <c r="J49" s="147"/>
      <c r="K49" s="151"/>
      <c r="L49" s="151"/>
      <c r="M49" s="126"/>
      <c r="N49" s="126"/>
    </row>
    <row r="50" spans="1:14" ht="18">
      <c r="A50" s="126"/>
      <c r="C50" s="126"/>
      <c r="D50" s="126"/>
      <c r="E50" s="126"/>
      <c r="F50" s="126"/>
      <c r="G50" s="126"/>
      <c r="I50" s="147"/>
      <c r="J50" s="147"/>
      <c r="K50" s="152"/>
      <c r="L50" s="151"/>
      <c r="M50" s="126"/>
      <c r="N50" s="126"/>
    </row>
    <row r="51" spans="8:12" ht="15" customHeight="1">
      <c r="H51" s="142"/>
      <c r="K51" s="151"/>
      <c r="L51" s="153"/>
    </row>
    <row r="52" spans="8:12" ht="15" customHeight="1">
      <c r="H52" s="142"/>
      <c r="K52" s="153"/>
      <c r="L52" s="151"/>
    </row>
    <row r="53" spans="3:12" ht="15" customHeight="1">
      <c r="C53" s="529"/>
      <c r="D53" s="136"/>
      <c r="E53" s="136"/>
      <c r="H53" s="149"/>
      <c r="K53" s="151"/>
      <c r="L53" s="151"/>
    </row>
    <row r="54" spans="3:12" ht="15" customHeight="1">
      <c r="C54" s="529"/>
      <c r="D54" s="136"/>
      <c r="E54" s="136"/>
      <c r="F54" s="136"/>
      <c r="G54" s="136"/>
      <c r="K54" s="151"/>
      <c r="L54" s="151"/>
    </row>
    <row r="55" spans="2:12" ht="15" customHeight="1">
      <c r="B55" s="154"/>
      <c r="C55" s="136"/>
      <c r="D55" s="136"/>
      <c r="E55" s="136"/>
      <c r="F55" s="136"/>
      <c r="G55" s="136"/>
      <c r="K55" s="153"/>
      <c r="L55" s="153"/>
    </row>
    <row r="56" spans="2:14" ht="18">
      <c r="B56" s="154"/>
      <c r="C56" s="154"/>
      <c r="D56" s="154"/>
      <c r="E56" s="154"/>
      <c r="F56" s="238"/>
      <c r="G56" s="239"/>
      <c r="H56" s="149"/>
      <c r="I56" s="154"/>
      <c r="J56" s="154"/>
      <c r="K56" s="151"/>
      <c r="L56" s="151"/>
      <c r="M56" s="154"/>
      <c r="N56" s="154"/>
    </row>
    <row r="57" spans="2:14" ht="18">
      <c r="B57" s="154"/>
      <c r="C57" s="154"/>
      <c r="D57" s="154"/>
      <c r="E57" s="154"/>
      <c r="F57" s="238"/>
      <c r="G57" s="239"/>
      <c r="H57" s="146"/>
      <c r="I57" s="154"/>
      <c r="J57" s="154"/>
      <c r="K57" s="153"/>
      <c r="L57" s="151"/>
      <c r="M57" s="154"/>
      <c r="N57" s="154"/>
    </row>
    <row r="58" spans="2:14" ht="18">
      <c r="B58" s="154"/>
      <c r="C58" s="154"/>
      <c r="D58" s="154"/>
      <c r="E58" s="154"/>
      <c r="F58" s="238"/>
      <c r="G58" s="239"/>
      <c r="H58" s="149"/>
      <c r="I58" s="154"/>
      <c r="J58" s="154"/>
      <c r="K58" s="151"/>
      <c r="L58" s="153"/>
      <c r="M58" s="154"/>
      <c r="N58" s="154"/>
    </row>
    <row r="59" spans="2:14" ht="18">
      <c r="B59" s="154"/>
      <c r="C59" s="154"/>
      <c r="D59" s="154"/>
      <c r="E59" s="154"/>
      <c r="F59" s="238"/>
      <c r="G59" s="239"/>
      <c r="H59" s="239"/>
      <c r="I59" s="239"/>
      <c r="J59" s="154"/>
      <c r="K59" s="151"/>
      <c r="L59" s="151"/>
      <c r="M59" s="154"/>
      <c r="N59" s="154"/>
    </row>
    <row r="60" spans="2:14" ht="18">
      <c r="B60" s="154"/>
      <c r="C60" s="154"/>
      <c r="D60" s="154"/>
      <c r="E60" s="154"/>
      <c r="F60" s="238"/>
      <c r="G60" s="239"/>
      <c r="I60" s="154"/>
      <c r="J60" s="154"/>
      <c r="K60" s="151"/>
      <c r="L60" s="151"/>
      <c r="M60" s="154"/>
      <c r="N60" s="154"/>
    </row>
    <row r="61" spans="2:14" ht="18">
      <c r="B61" s="154"/>
      <c r="C61" s="154"/>
      <c r="D61" s="154"/>
      <c r="E61" s="154"/>
      <c r="F61" s="238"/>
      <c r="G61" s="239"/>
      <c r="H61" s="142"/>
      <c r="I61" s="154"/>
      <c r="J61" s="154"/>
      <c r="K61" s="151"/>
      <c r="L61" s="151"/>
      <c r="M61" s="154"/>
      <c r="N61" s="154"/>
    </row>
    <row r="62" spans="3:14" ht="18">
      <c r="C62" s="154"/>
      <c r="D62" s="154"/>
      <c r="E62" s="154"/>
      <c r="F62" s="237"/>
      <c r="G62" s="237"/>
      <c r="H62" s="142"/>
      <c r="I62" s="154"/>
      <c r="J62" s="154"/>
      <c r="K62" s="153"/>
      <c r="L62" s="151"/>
      <c r="M62" s="154"/>
      <c r="N62" s="154"/>
    </row>
    <row r="63" spans="11:12" ht="15">
      <c r="K63" s="152"/>
      <c r="L63" s="151"/>
    </row>
    <row r="64" spans="8:12" ht="15">
      <c r="H64" s="142"/>
      <c r="K64" s="153"/>
      <c r="L64" s="153"/>
    </row>
    <row r="65" spans="11:12" ht="15">
      <c r="K65" s="151"/>
      <c r="L65" s="152"/>
    </row>
    <row r="66" spans="8:12" ht="15">
      <c r="H66" s="146"/>
      <c r="K66" s="151"/>
      <c r="L66" s="153"/>
    </row>
    <row r="67" spans="11:12" ht="15">
      <c r="K67" s="151"/>
      <c r="L67" s="151"/>
    </row>
    <row r="68" spans="11:12" ht="15">
      <c r="K68" s="151"/>
      <c r="L68" s="153"/>
    </row>
    <row r="69" spans="8:12" ht="15">
      <c r="H69" s="146"/>
      <c r="K69" s="151"/>
      <c r="L69" s="151"/>
    </row>
    <row r="70" spans="8:12" ht="15">
      <c r="H70" s="146"/>
      <c r="K70" s="151"/>
      <c r="L70" s="152"/>
    </row>
    <row r="71" spans="11:12" ht="15">
      <c r="K71" s="151"/>
      <c r="L71" s="151"/>
    </row>
    <row r="72" spans="8:12" ht="15">
      <c r="H72" s="149"/>
      <c r="K72" s="153"/>
      <c r="L72" s="153"/>
    </row>
    <row r="73" spans="8:12" ht="15">
      <c r="H73" s="142"/>
      <c r="K73" s="151"/>
      <c r="L73" s="151"/>
    </row>
    <row r="74" spans="8:12" ht="15">
      <c r="H74" s="142"/>
      <c r="K74" s="153"/>
      <c r="L74" s="151"/>
    </row>
  </sheetData>
  <sheetProtection/>
  <mergeCells count="14">
    <mergeCell ref="I8:N8"/>
    <mergeCell ref="O8:P8"/>
    <mergeCell ref="P9:P10"/>
    <mergeCell ref="O9:O10"/>
    <mergeCell ref="E9:E10"/>
    <mergeCell ref="G9:H9"/>
    <mergeCell ref="J9:J10"/>
    <mergeCell ref="M9:N9"/>
    <mergeCell ref="A8:A10"/>
    <mergeCell ref="B8:B10"/>
    <mergeCell ref="C53:C54"/>
    <mergeCell ref="D9:D10"/>
    <mergeCell ref="C9:C10"/>
    <mergeCell ref="C8:H8"/>
  </mergeCells>
  <conditionalFormatting sqref="C11:C36">
    <cfRule type="top10" priority="50" dxfId="3" stopIfTrue="1" rank="5" bottom="1"/>
    <cfRule type="top10" priority="51" dxfId="0" stopIfTrue="1" rank="5"/>
  </conditionalFormatting>
  <conditionalFormatting sqref="G36">
    <cfRule type="top10" priority="49" dxfId="0" stopIfTrue="1" rank="5"/>
  </conditionalFormatting>
  <conditionalFormatting sqref="J36">
    <cfRule type="top10" priority="47" dxfId="1" stopIfTrue="1" rank="1"/>
    <cfRule type="top10" priority="48" dxfId="0" stopIfTrue="1" rank="5"/>
  </conditionalFormatting>
  <conditionalFormatting sqref="M11:M36">
    <cfRule type="top10" priority="45" dxfId="3" stopIfTrue="1" rank="5" bottom="1"/>
    <cfRule type="top10" priority="46" dxfId="0" stopIfTrue="1" rank="5"/>
  </conditionalFormatting>
  <conditionalFormatting sqref="N11:N36">
    <cfRule type="top10" priority="43" dxfId="3" stopIfTrue="1" rank="5" bottom="1"/>
    <cfRule type="top10" priority="44" dxfId="0" stopIfTrue="1" rank="5"/>
  </conditionalFormatting>
  <conditionalFormatting sqref="O11:O36">
    <cfRule type="top10" priority="41" dxfId="3" stopIfTrue="1" rank="5" bottom="1"/>
    <cfRule type="top10" priority="42" dxfId="0" stopIfTrue="1" rank="5"/>
  </conditionalFormatting>
  <conditionalFormatting sqref="G11:G36">
    <cfRule type="top10" priority="39" dxfId="3" stopIfTrue="1" rank="5" bottom="1"/>
    <cfRule type="top10" priority="40" dxfId="0" stopIfTrue="1" rank="5"/>
  </conditionalFormatting>
  <conditionalFormatting sqref="H11:H36">
    <cfRule type="top10" priority="37" dxfId="3" stopIfTrue="1" rank="5" bottom="1"/>
    <cfRule type="top10" priority="38" dxfId="0" stopIfTrue="1" rank="5"/>
  </conditionalFormatting>
  <conditionalFormatting sqref="O11:P36">
    <cfRule type="top10" priority="35" dxfId="3" stopIfTrue="1" rank="5" bottom="1"/>
    <cfRule type="top10" priority="36" dxfId="0" stopIfTrue="1" rank="5"/>
  </conditionalFormatting>
  <conditionalFormatting sqref="Z11:Z36">
    <cfRule type="top10" priority="13" dxfId="1" stopIfTrue="1" rank="10"/>
    <cfRule type="top10" priority="14" dxfId="0" stopIfTrue="1" rank="5"/>
  </conditionalFormatting>
  <conditionalFormatting sqref="J36:K36 H36">
    <cfRule type="top10" priority="17" dxfId="1" stopIfTrue="1" rank="1"/>
    <cfRule type="top10" priority="18" dxfId="0" stopIfTrue="1" rank="5"/>
  </conditionalFormatting>
  <conditionalFormatting sqref="K11:K36 AC11:AC36">
    <cfRule type="top10" priority="15" dxfId="3" stopIfTrue="1" rank="5" bottom="1"/>
    <cfRule type="top10" priority="16" dxfId="0" stopIfTrue="1" rank="5"/>
  </conditionalFormatting>
  <conditionalFormatting sqref="M11:M13 M34:M36 M21:M32 M15:M18">
    <cfRule type="top10" priority="3" dxfId="0" stopIfTrue="1" rank="5"/>
  </conditionalFormatting>
  <printOptions/>
  <pageMargins left="0.5118110236220472" right="0.5118110236220472" top="0.5118110236220472" bottom="0.5118110236220472" header="0.31496062992125984" footer="0.31496062992125984"/>
  <pageSetup horizontalDpi="600" verticalDpi="600" orientation="landscape" scale="68" r:id="rId1"/>
  <rowBreaks count="1" manualBreakCount="1">
    <brk id="38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137"/>
  <sheetViews>
    <sheetView workbookViewId="0" topLeftCell="A1">
      <selection activeCell="P5" sqref="P5"/>
    </sheetView>
  </sheetViews>
  <sheetFormatPr defaultColWidth="7.8515625" defaultRowHeight="12.75"/>
  <cols>
    <col min="1" max="1" width="2.421875" style="142" customWidth="1"/>
    <col min="2" max="3" width="4.28125" style="142" hidden="1" customWidth="1"/>
    <col min="4" max="4" width="8.28125" style="142" customWidth="1"/>
    <col min="5" max="5" width="10.00390625" style="142" customWidth="1"/>
    <col min="6" max="6" width="9.7109375" style="142" bestFit="1" customWidth="1"/>
    <col min="7" max="7" width="8.7109375" style="142" customWidth="1"/>
    <col min="8" max="10" width="9.7109375" style="142" bestFit="1" customWidth="1"/>
    <col min="11" max="13" width="8.8515625" style="142" customWidth="1"/>
    <col min="14" max="14" width="9.00390625" style="142" bestFit="1" customWidth="1"/>
    <col min="15" max="15" width="10.8515625" style="265" bestFit="1" customWidth="1"/>
    <col min="16" max="16" width="12.8515625" style="142" customWidth="1"/>
    <col min="17" max="17" width="12.57421875" style="142" customWidth="1"/>
    <col min="18" max="18" width="13.00390625" style="142" customWidth="1"/>
    <col min="19" max="20" width="13.421875" style="142" bestFit="1" customWidth="1"/>
    <col min="21" max="22" width="14.7109375" style="142" bestFit="1" customWidth="1"/>
    <col min="23" max="23" width="11.140625" style="142" customWidth="1"/>
    <col min="24" max="24" width="11.57421875" style="142" customWidth="1"/>
    <col min="25" max="16384" width="7.8515625" style="142" customWidth="1"/>
  </cols>
  <sheetData>
    <row r="1" spans="2:15" ht="18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540" t="s">
        <v>134</v>
      </c>
      <c r="O1" s="540"/>
    </row>
    <row r="2" spans="1:15" ht="16.5" customHeight="1">
      <c r="A2" s="133" t="s">
        <v>190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  <c r="O2" s="134"/>
    </row>
    <row r="3" spans="1:15" ht="9" customHeight="1" thickBo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35.25" customHeight="1" thickBot="1">
      <c r="A4" s="268" t="s">
        <v>18</v>
      </c>
      <c r="B4" s="269" t="s">
        <v>120</v>
      </c>
      <c r="C4" s="269" t="s">
        <v>121</v>
      </c>
      <c r="D4" s="311">
        <v>41000</v>
      </c>
      <c r="E4" s="311">
        <v>41030</v>
      </c>
      <c r="F4" s="311">
        <v>41061</v>
      </c>
      <c r="G4" s="311">
        <v>41091</v>
      </c>
      <c r="H4" s="311">
        <v>41122</v>
      </c>
      <c r="I4" s="311">
        <v>41153</v>
      </c>
      <c r="J4" s="311">
        <v>41183</v>
      </c>
      <c r="K4" s="311">
        <v>41214</v>
      </c>
      <c r="L4" s="311">
        <v>41244</v>
      </c>
      <c r="M4" s="311">
        <v>41275</v>
      </c>
      <c r="N4" s="311">
        <v>41306</v>
      </c>
      <c r="O4" s="270" t="s">
        <v>2</v>
      </c>
    </row>
    <row r="5" spans="1:15" ht="18" customHeight="1">
      <c r="A5" s="555">
        <v>1</v>
      </c>
      <c r="B5" s="547" t="s">
        <v>39</v>
      </c>
      <c r="C5" s="271" t="s">
        <v>122</v>
      </c>
      <c r="D5" s="369">
        <v>98</v>
      </c>
      <c r="E5" s="369">
        <v>54</v>
      </c>
      <c r="F5" s="369">
        <v>67</v>
      </c>
      <c r="G5" s="369">
        <v>89</v>
      </c>
      <c r="H5" s="369">
        <v>74</v>
      </c>
      <c r="I5" s="369">
        <v>87</v>
      </c>
      <c r="J5" s="369">
        <v>63</v>
      </c>
      <c r="K5" s="369">
        <v>58</v>
      </c>
      <c r="L5" s="369">
        <v>75</v>
      </c>
      <c r="M5" s="369">
        <v>110</v>
      </c>
      <c r="N5" s="272">
        <f>'Feb 13(2)'!AE7</f>
        <v>352</v>
      </c>
      <c r="O5" s="273">
        <f>SUM(D5:N5)</f>
        <v>1127</v>
      </c>
    </row>
    <row r="6" spans="1:15" ht="18" customHeight="1">
      <c r="A6" s="556"/>
      <c r="B6" s="548"/>
      <c r="C6" s="257" t="s">
        <v>123</v>
      </c>
      <c r="D6" s="370">
        <v>377</v>
      </c>
      <c r="E6" s="370">
        <v>555</v>
      </c>
      <c r="F6" s="370">
        <v>467</v>
      </c>
      <c r="G6" s="370">
        <v>353</v>
      </c>
      <c r="H6" s="370">
        <v>309</v>
      </c>
      <c r="I6" s="370">
        <v>344</v>
      </c>
      <c r="J6" s="370">
        <v>160</v>
      </c>
      <c r="K6" s="370">
        <v>204</v>
      </c>
      <c r="L6" s="370">
        <v>218</v>
      </c>
      <c r="M6" s="370">
        <v>71</v>
      </c>
      <c r="N6" s="261">
        <f>'Feb 13(2)'!S7</f>
        <v>25</v>
      </c>
      <c r="O6" s="274">
        <f aca="true" t="shared" si="0" ref="O6:O69">SUM(D6:N6)</f>
        <v>3083</v>
      </c>
    </row>
    <row r="7" spans="1:15" ht="18" customHeight="1" thickBot="1">
      <c r="A7" s="557"/>
      <c r="B7" s="549"/>
      <c r="C7" s="275" t="s">
        <v>124</v>
      </c>
      <c r="D7" s="371">
        <v>-279</v>
      </c>
      <c r="E7" s="371">
        <v>-501</v>
      </c>
      <c r="F7" s="371">
        <v>-400</v>
      </c>
      <c r="G7" s="371">
        <v>-264</v>
      </c>
      <c r="H7" s="371">
        <v>-235</v>
      </c>
      <c r="I7" s="371">
        <v>-257</v>
      </c>
      <c r="J7" s="371">
        <v>-97</v>
      </c>
      <c r="K7" s="371">
        <v>-146</v>
      </c>
      <c r="L7" s="371">
        <v>-143</v>
      </c>
      <c r="M7" s="371">
        <v>39</v>
      </c>
      <c r="N7" s="276">
        <f>N5-N6</f>
        <v>327</v>
      </c>
      <c r="O7" s="277">
        <f t="shared" si="0"/>
        <v>-1956</v>
      </c>
    </row>
    <row r="8" spans="1:15" ht="18" customHeight="1">
      <c r="A8" s="558">
        <v>2</v>
      </c>
      <c r="B8" s="547" t="s">
        <v>65</v>
      </c>
      <c r="C8" s="271" t="s">
        <v>122</v>
      </c>
      <c r="D8" s="369">
        <v>13812</v>
      </c>
      <c r="E8" s="369">
        <v>16924</v>
      </c>
      <c r="F8" s="369">
        <v>16566</v>
      </c>
      <c r="G8" s="369">
        <v>16218</v>
      </c>
      <c r="H8" s="369">
        <v>18617</v>
      </c>
      <c r="I8" s="369">
        <v>16535</v>
      </c>
      <c r="J8" s="369">
        <v>14652</v>
      </c>
      <c r="K8" s="369">
        <v>3690</v>
      </c>
      <c r="L8" s="369">
        <v>16668</v>
      </c>
      <c r="M8" s="369">
        <v>16786</v>
      </c>
      <c r="N8" s="272">
        <f>'Feb 13(2)'!AE8</f>
        <v>15200</v>
      </c>
      <c r="O8" s="273">
        <f t="shared" si="0"/>
        <v>165668</v>
      </c>
    </row>
    <row r="9" spans="1:15" ht="18" customHeight="1">
      <c r="A9" s="559"/>
      <c r="B9" s="548"/>
      <c r="C9" s="257" t="s">
        <v>123</v>
      </c>
      <c r="D9" s="370">
        <v>27780</v>
      </c>
      <c r="E9" s="370">
        <v>37170</v>
      </c>
      <c r="F9" s="370">
        <v>29438</v>
      </c>
      <c r="G9" s="370">
        <v>23300</v>
      </c>
      <c r="H9" s="370">
        <v>23307</v>
      </c>
      <c r="I9" s="370">
        <v>27740</v>
      </c>
      <c r="J9" s="370">
        <v>22762</v>
      </c>
      <c r="K9" s="370">
        <v>14145</v>
      </c>
      <c r="L9" s="370">
        <v>26795</v>
      </c>
      <c r="M9" s="370">
        <v>19999</v>
      </c>
      <c r="N9" s="261">
        <f>'Feb 13(2)'!S8</f>
        <v>26029</v>
      </c>
      <c r="O9" s="274">
        <f t="shared" si="0"/>
        <v>278465</v>
      </c>
    </row>
    <row r="10" spans="1:15" ht="18" customHeight="1" thickBot="1">
      <c r="A10" s="560"/>
      <c r="B10" s="549"/>
      <c r="C10" s="275" t="s">
        <v>124</v>
      </c>
      <c r="D10" s="371">
        <v>-13968</v>
      </c>
      <c r="E10" s="371">
        <v>-20246</v>
      </c>
      <c r="F10" s="371">
        <v>-12872</v>
      </c>
      <c r="G10" s="371">
        <v>-7082</v>
      </c>
      <c r="H10" s="371">
        <v>-4690</v>
      </c>
      <c r="I10" s="371">
        <v>-11205</v>
      </c>
      <c r="J10" s="371">
        <v>-8110</v>
      </c>
      <c r="K10" s="371">
        <v>-10455</v>
      </c>
      <c r="L10" s="371">
        <v>-10127</v>
      </c>
      <c r="M10" s="371">
        <v>-3213</v>
      </c>
      <c r="N10" s="276">
        <f>N8-N9</f>
        <v>-10829</v>
      </c>
      <c r="O10" s="277">
        <f t="shared" si="0"/>
        <v>-112797</v>
      </c>
    </row>
    <row r="11" spans="1:15" ht="18" customHeight="1">
      <c r="A11" s="558">
        <v>3</v>
      </c>
      <c r="B11" s="547" t="s">
        <v>3</v>
      </c>
      <c r="C11" s="271" t="s">
        <v>122</v>
      </c>
      <c r="D11" s="369">
        <v>789</v>
      </c>
      <c r="E11" s="369">
        <v>1010</v>
      </c>
      <c r="F11" s="369">
        <v>1241</v>
      </c>
      <c r="G11" s="369">
        <v>1015</v>
      </c>
      <c r="H11" s="369">
        <v>940</v>
      </c>
      <c r="I11" s="369">
        <v>1034</v>
      </c>
      <c r="J11" s="369">
        <v>1003</v>
      </c>
      <c r="K11" s="369">
        <v>1003</v>
      </c>
      <c r="L11" s="369">
        <v>1298</v>
      </c>
      <c r="M11" s="369">
        <v>1854</v>
      </c>
      <c r="N11" s="272">
        <f>'Feb 13(2)'!AE9</f>
        <v>1601</v>
      </c>
      <c r="O11" s="273">
        <f t="shared" si="0"/>
        <v>12788</v>
      </c>
    </row>
    <row r="12" spans="1:15" ht="18" customHeight="1">
      <c r="A12" s="559"/>
      <c r="B12" s="548"/>
      <c r="C12" s="257" t="s">
        <v>123</v>
      </c>
      <c r="D12" s="370">
        <v>2408</v>
      </c>
      <c r="E12" s="370">
        <v>25787</v>
      </c>
      <c r="F12" s="370">
        <v>2244</v>
      </c>
      <c r="G12" s="370">
        <v>2182</v>
      </c>
      <c r="H12" s="370">
        <v>1840</v>
      </c>
      <c r="I12" s="370">
        <v>2924</v>
      </c>
      <c r="J12" s="370">
        <v>2041</v>
      </c>
      <c r="K12" s="370">
        <v>1355</v>
      </c>
      <c r="L12" s="370">
        <v>1829</v>
      </c>
      <c r="M12" s="370">
        <v>1841</v>
      </c>
      <c r="N12" s="261">
        <f>'Feb 13(2)'!S9</f>
        <v>2082</v>
      </c>
      <c r="O12" s="274">
        <f t="shared" si="0"/>
        <v>46533</v>
      </c>
    </row>
    <row r="13" spans="1:15" ht="18" customHeight="1" thickBot="1">
      <c r="A13" s="560"/>
      <c r="B13" s="549"/>
      <c r="C13" s="275" t="s">
        <v>124</v>
      </c>
      <c r="D13" s="371">
        <v>-1619</v>
      </c>
      <c r="E13" s="371">
        <v>-24777</v>
      </c>
      <c r="F13" s="371">
        <v>-1003</v>
      </c>
      <c r="G13" s="371">
        <v>-1167</v>
      </c>
      <c r="H13" s="371">
        <v>-900</v>
      </c>
      <c r="I13" s="371">
        <v>-1890</v>
      </c>
      <c r="J13" s="371">
        <v>-1038</v>
      </c>
      <c r="K13" s="371">
        <v>-352</v>
      </c>
      <c r="L13" s="371">
        <v>-531</v>
      </c>
      <c r="M13" s="371">
        <v>13</v>
      </c>
      <c r="N13" s="276">
        <f>N11-N12</f>
        <v>-481</v>
      </c>
      <c r="O13" s="277">
        <f t="shared" si="0"/>
        <v>-33745</v>
      </c>
    </row>
    <row r="14" spans="1:15" ht="18" customHeight="1">
      <c r="A14" s="558">
        <v>4</v>
      </c>
      <c r="B14" s="547" t="s">
        <v>31</v>
      </c>
      <c r="C14" s="271" t="s">
        <v>122</v>
      </c>
      <c r="D14" s="369">
        <v>1363</v>
      </c>
      <c r="E14" s="369">
        <v>1855</v>
      </c>
      <c r="F14" s="369">
        <v>1326</v>
      </c>
      <c r="G14" s="369">
        <v>1533</v>
      </c>
      <c r="H14" s="369">
        <v>1560</v>
      </c>
      <c r="I14" s="369">
        <v>1504</v>
      </c>
      <c r="J14" s="369">
        <v>1350</v>
      </c>
      <c r="K14" s="369">
        <v>1312</v>
      </c>
      <c r="L14" s="369">
        <v>2081</v>
      </c>
      <c r="M14" s="369">
        <v>0</v>
      </c>
      <c r="N14" s="272">
        <f>'Feb 13(2)'!AE10</f>
        <v>2194</v>
      </c>
      <c r="O14" s="273">
        <f t="shared" si="0"/>
        <v>16078</v>
      </c>
    </row>
    <row r="15" spans="1:15" ht="18" customHeight="1">
      <c r="A15" s="559"/>
      <c r="B15" s="548"/>
      <c r="C15" s="257" t="s">
        <v>123</v>
      </c>
      <c r="D15" s="370">
        <v>1537</v>
      </c>
      <c r="E15" s="370">
        <v>1180</v>
      </c>
      <c r="F15" s="370">
        <v>1072</v>
      </c>
      <c r="G15" s="370">
        <v>1266</v>
      </c>
      <c r="H15" s="370">
        <v>1271</v>
      </c>
      <c r="I15" s="370">
        <v>1388</v>
      </c>
      <c r="J15" s="370">
        <v>985</v>
      </c>
      <c r="K15" s="370">
        <v>796</v>
      </c>
      <c r="L15" s="370">
        <v>1170</v>
      </c>
      <c r="M15" s="370">
        <v>167747</v>
      </c>
      <c r="N15" s="261">
        <f>'Feb 13(2)'!S10</f>
        <v>1250</v>
      </c>
      <c r="O15" s="274">
        <f t="shared" si="0"/>
        <v>179662</v>
      </c>
    </row>
    <row r="16" spans="1:15" ht="18" customHeight="1" thickBot="1">
      <c r="A16" s="560"/>
      <c r="B16" s="549"/>
      <c r="C16" s="275" t="s">
        <v>124</v>
      </c>
      <c r="D16" s="371">
        <v>-174</v>
      </c>
      <c r="E16" s="371">
        <v>675</v>
      </c>
      <c r="F16" s="371">
        <v>254</v>
      </c>
      <c r="G16" s="371">
        <v>267</v>
      </c>
      <c r="H16" s="371">
        <v>289</v>
      </c>
      <c r="I16" s="371">
        <v>116</v>
      </c>
      <c r="J16" s="371">
        <v>365</v>
      </c>
      <c r="K16" s="371">
        <v>516</v>
      </c>
      <c r="L16" s="371">
        <v>911</v>
      </c>
      <c r="M16" s="371">
        <v>-167747</v>
      </c>
      <c r="N16" s="428">
        <f>N14-N15</f>
        <v>944</v>
      </c>
      <c r="O16" s="277">
        <f t="shared" si="0"/>
        <v>-163584</v>
      </c>
    </row>
    <row r="17" spans="1:15" ht="18" customHeight="1">
      <c r="A17" s="558">
        <v>5</v>
      </c>
      <c r="B17" s="547" t="s">
        <v>5</v>
      </c>
      <c r="C17" s="271" t="s">
        <v>122</v>
      </c>
      <c r="D17" s="369">
        <v>686</v>
      </c>
      <c r="E17" s="369">
        <v>902</v>
      </c>
      <c r="F17" s="369">
        <v>719</v>
      </c>
      <c r="G17" s="369">
        <v>1015</v>
      </c>
      <c r="H17" s="369">
        <v>2358</v>
      </c>
      <c r="I17" s="369">
        <v>1438</v>
      </c>
      <c r="J17" s="369">
        <v>1947</v>
      </c>
      <c r="K17" s="369">
        <v>2293</v>
      </c>
      <c r="L17" s="369">
        <v>347</v>
      </c>
      <c r="M17" s="369">
        <v>5578</v>
      </c>
      <c r="N17" s="272">
        <f>'Feb 13(2)'!AE11</f>
        <v>0</v>
      </c>
      <c r="O17" s="273">
        <f t="shared" si="0"/>
        <v>17283</v>
      </c>
    </row>
    <row r="18" spans="1:17" ht="18" customHeight="1">
      <c r="A18" s="559"/>
      <c r="B18" s="548"/>
      <c r="C18" s="257" t="s">
        <v>123</v>
      </c>
      <c r="D18" s="370">
        <v>1979</v>
      </c>
      <c r="E18" s="370">
        <v>1546</v>
      </c>
      <c r="F18" s="370">
        <v>1821</v>
      </c>
      <c r="G18" s="370">
        <v>1243</v>
      </c>
      <c r="H18" s="370">
        <v>2681</v>
      </c>
      <c r="I18" s="370">
        <v>1496</v>
      </c>
      <c r="J18" s="370">
        <v>1656</v>
      </c>
      <c r="K18" s="370">
        <v>2088</v>
      </c>
      <c r="L18" s="370">
        <v>719</v>
      </c>
      <c r="M18" s="370">
        <v>5297</v>
      </c>
      <c r="N18" s="261">
        <f>'Feb 13(2)'!S11</f>
        <v>5422</v>
      </c>
      <c r="O18" s="274">
        <f t="shared" si="0"/>
        <v>25948</v>
      </c>
      <c r="Q18" s="264"/>
    </row>
    <row r="19" spans="1:17" ht="18" customHeight="1" thickBot="1">
      <c r="A19" s="560"/>
      <c r="B19" s="549"/>
      <c r="C19" s="275" t="s">
        <v>124</v>
      </c>
      <c r="D19" s="371">
        <v>-1293</v>
      </c>
      <c r="E19" s="371">
        <v>-644</v>
      </c>
      <c r="F19" s="371">
        <v>-1102</v>
      </c>
      <c r="G19" s="371">
        <v>-228</v>
      </c>
      <c r="H19" s="371">
        <v>-323</v>
      </c>
      <c r="I19" s="371">
        <v>-58</v>
      </c>
      <c r="J19" s="371">
        <v>291</v>
      </c>
      <c r="K19" s="371">
        <v>205</v>
      </c>
      <c r="L19" s="371">
        <v>-372</v>
      </c>
      <c r="M19" s="371">
        <v>281</v>
      </c>
      <c r="N19" s="276">
        <f>N17-N18</f>
        <v>-5422</v>
      </c>
      <c r="O19" s="277">
        <f t="shared" si="0"/>
        <v>-8665</v>
      </c>
      <c r="Q19" s="264"/>
    </row>
    <row r="20" spans="1:17" ht="18" customHeight="1">
      <c r="A20" s="558">
        <v>6</v>
      </c>
      <c r="B20" s="547" t="s">
        <v>32</v>
      </c>
      <c r="C20" s="271" t="s">
        <v>122</v>
      </c>
      <c r="D20" s="369">
        <v>5476</v>
      </c>
      <c r="E20" s="369">
        <v>6417</v>
      </c>
      <c r="F20" s="369">
        <v>6239</v>
      </c>
      <c r="G20" s="369">
        <v>6057</v>
      </c>
      <c r="H20" s="369">
        <v>5862</v>
      </c>
      <c r="I20" s="369">
        <v>6513</v>
      </c>
      <c r="J20" s="369">
        <v>8160</v>
      </c>
      <c r="K20" s="369">
        <v>8437</v>
      </c>
      <c r="L20" s="369">
        <v>11436</v>
      </c>
      <c r="M20" s="369">
        <v>9929</v>
      </c>
      <c r="N20" s="272">
        <f>'Feb 13(2)'!AE12</f>
        <v>8358</v>
      </c>
      <c r="O20" s="273">
        <f t="shared" si="0"/>
        <v>82884</v>
      </c>
      <c r="Q20" s="264"/>
    </row>
    <row r="21" spans="1:17" ht="18" customHeight="1">
      <c r="A21" s="559"/>
      <c r="B21" s="548"/>
      <c r="C21" s="257" t="s">
        <v>123</v>
      </c>
      <c r="D21" s="370">
        <v>9908</v>
      </c>
      <c r="E21" s="370">
        <v>12072</v>
      </c>
      <c r="F21" s="370">
        <v>14050</v>
      </c>
      <c r="G21" s="370">
        <v>13979</v>
      </c>
      <c r="H21" s="370">
        <v>15657</v>
      </c>
      <c r="I21" s="370">
        <v>10554</v>
      </c>
      <c r="J21" s="370">
        <v>8976</v>
      </c>
      <c r="K21" s="370">
        <v>7540</v>
      </c>
      <c r="L21" s="370">
        <v>8930</v>
      </c>
      <c r="M21" s="370">
        <v>6889</v>
      </c>
      <c r="N21" s="261">
        <f>'Feb 13(2)'!S12</f>
        <v>7613</v>
      </c>
      <c r="O21" s="274">
        <f t="shared" si="0"/>
        <v>116168</v>
      </c>
      <c r="Q21" s="264"/>
    </row>
    <row r="22" spans="1:17" ht="18" customHeight="1" thickBot="1">
      <c r="A22" s="560"/>
      <c r="B22" s="549"/>
      <c r="C22" s="275" t="s">
        <v>124</v>
      </c>
      <c r="D22" s="371">
        <v>-4432</v>
      </c>
      <c r="E22" s="371">
        <v>-5655</v>
      </c>
      <c r="F22" s="371">
        <v>-7811</v>
      </c>
      <c r="G22" s="371">
        <v>-7922</v>
      </c>
      <c r="H22" s="371">
        <v>-9795</v>
      </c>
      <c r="I22" s="371">
        <v>-4041</v>
      </c>
      <c r="J22" s="371">
        <v>-816</v>
      </c>
      <c r="K22" s="371">
        <v>897</v>
      </c>
      <c r="L22" s="371">
        <v>2506</v>
      </c>
      <c r="M22" s="371">
        <v>3040</v>
      </c>
      <c r="N22" s="276">
        <f>N20-N21</f>
        <v>745</v>
      </c>
      <c r="O22" s="277">
        <f t="shared" si="0"/>
        <v>-33284</v>
      </c>
      <c r="Q22" s="264"/>
    </row>
    <row r="23" spans="1:17" ht="18" customHeight="1">
      <c r="A23" s="558">
        <v>7</v>
      </c>
      <c r="B23" s="547" t="s">
        <v>66</v>
      </c>
      <c r="C23" s="271" t="s">
        <v>122</v>
      </c>
      <c r="D23" s="369">
        <v>2610</v>
      </c>
      <c r="E23" s="369">
        <v>2969</v>
      </c>
      <c r="F23" s="369">
        <v>2449</v>
      </c>
      <c r="G23" s="369">
        <v>2508</v>
      </c>
      <c r="H23" s="369">
        <v>2434</v>
      </c>
      <c r="I23" s="369">
        <v>2706</v>
      </c>
      <c r="J23" s="369">
        <v>3012</v>
      </c>
      <c r="K23" s="369">
        <v>2562</v>
      </c>
      <c r="L23" s="369">
        <v>2627</v>
      </c>
      <c r="M23" s="369">
        <v>2650</v>
      </c>
      <c r="N23" s="272">
        <f>'Feb 13(2)'!AE13</f>
        <v>2699</v>
      </c>
      <c r="O23" s="273">
        <f t="shared" si="0"/>
        <v>29226</v>
      </c>
      <c r="Q23" s="264"/>
    </row>
    <row r="24" spans="1:17" ht="18" customHeight="1">
      <c r="A24" s="559"/>
      <c r="B24" s="548"/>
      <c r="C24" s="257" t="s">
        <v>123</v>
      </c>
      <c r="D24" s="370">
        <v>6488</v>
      </c>
      <c r="E24" s="370">
        <v>6418</v>
      </c>
      <c r="F24" s="370">
        <v>5372</v>
      </c>
      <c r="G24" s="370">
        <v>5713</v>
      </c>
      <c r="H24" s="370">
        <v>4638</v>
      </c>
      <c r="I24" s="370">
        <v>5238</v>
      </c>
      <c r="J24" s="370">
        <v>6002</v>
      </c>
      <c r="K24" s="370">
        <v>5374</v>
      </c>
      <c r="L24" s="370">
        <v>5682</v>
      </c>
      <c r="M24" s="370">
        <v>9122</v>
      </c>
      <c r="N24" s="261">
        <f>'Feb 13(2)'!S13</f>
        <v>6603</v>
      </c>
      <c r="O24" s="274">
        <f t="shared" si="0"/>
        <v>66650</v>
      </c>
      <c r="Q24" s="264"/>
    </row>
    <row r="25" spans="1:17" ht="18" customHeight="1" thickBot="1">
      <c r="A25" s="560"/>
      <c r="B25" s="549"/>
      <c r="C25" s="275" t="s">
        <v>124</v>
      </c>
      <c r="D25" s="371">
        <v>-3878</v>
      </c>
      <c r="E25" s="371">
        <v>-3449</v>
      </c>
      <c r="F25" s="371">
        <v>-2923</v>
      </c>
      <c r="G25" s="371">
        <v>-3205</v>
      </c>
      <c r="H25" s="371">
        <v>-2204</v>
      </c>
      <c r="I25" s="371">
        <v>-2532</v>
      </c>
      <c r="J25" s="371">
        <v>-2990</v>
      </c>
      <c r="K25" s="371">
        <v>-2812</v>
      </c>
      <c r="L25" s="371">
        <v>-3055</v>
      </c>
      <c r="M25" s="371">
        <v>-6472</v>
      </c>
      <c r="N25" s="276">
        <f>N23-N24</f>
        <v>-3904</v>
      </c>
      <c r="O25" s="277">
        <f t="shared" si="0"/>
        <v>-37424</v>
      </c>
      <c r="Q25" s="264"/>
    </row>
    <row r="26" spans="1:15" ht="18" customHeight="1">
      <c r="A26" s="558">
        <v>8</v>
      </c>
      <c r="B26" s="547" t="s">
        <v>125</v>
      </c>
      <c r="C26" s="271" t="s">
        <v>122</v>
      </c>
      <c r="D26" s="369">
        <v>440</v>
      </c>
      <c r="E26" s="369">
        <v>854</v>
      </c>
      <c r="F26" s="369">
        <v>760</v>
      </c>
      <c r="G26" s="369">
        <v>783</v>
      </c>
      <c r="H26" s="369">
        <v>583</v>
      </c>
      <c r="I26" s="369">
        <v>576</v>
      </c>
      <c r="J26" s="369">
        <v>825</v>
      </c>
      <c r="K26" s="369">
        <v>588</v>
      </c>
      <c r="L26" s="369">
        <v>555</v>
      </c>
      <c r="M26" s="369">
        <v>773</v>
      </c>
      <c r="N26" s="272">
        <f>'Feb 13(2)'!AE14</f>
        <v>910</v>
      </c>
      <c r="O26" s="273">
        <f t="shared" si="0"/>
        <v>7647</v>
      </c>
    </row>
    <row r="27" spans="1:15" ht="18" customHeight="1">
      <c r="A27" s="559"/>
      <c r="B27" s="548"/>
      <c r="C27" s="257" t="s">
        <v>123</v>
      </c>
      <c r="D27" s="370">
        <v>2013</v>
      </c>
      <c r="E27" s="370">
        <v>2904</v>
      </c>
      <c r="F27" s="370">
        <v>2359</v>
      </c>
      <c r="G27" s="370">
        <v>2598</v>
      </c>
      <c r="H27" s="370">
        <v>2442</v>
      </c>
      <c r="I27" s="370">
        <v>2434</v>
      </c>
      <c r="J27" s="370">
        <v>2115</v>
      </c>
      <c r="K27" s="370">
        <v>2004</v>
      </c>
      <c r="L27" s="370">
        <v>2957</v>
      </c>
      <c r="M27" s="370">
        <v>3159</v>
      </c>
      <c r="N27" s="261">
        <f>'Feb 13(2)'!S14</f>
        <v>4156</v>
      </c>
      <c r="O27" s="274">
        <f t="shared" si="0"/>
        <v>29141</v>
      </c>
    </row>
    <row r="28" spans="1:15" ht="18" customHeight="1" thickBot="1">
      <c r="A28" s="560"/>
      <c r="B28" s="549"/>
      <c r="C28" s="275" t="s">
        <v>124</v>
      </c>
      <c r="D28" s="371">
        <v>-1573</v>
      </c>
      <c r="E28" s="371">
        <v>-2050</v>
      </c>
      <c r="F28" s="371">
        <v>-1599</v>
      </c>
      <c r="G28" s="371">
        <v>-1815</v>
      </c>
      <c r="H28" s="371">
        <v>-1859</v>
      </c>
      <c r="I28" s="371">
        <v>-1858</v>
      </c>
      <c r="J28" s="371">
        <v>-1290</v>
      </c>
      <c r="K28" s="371">
        <v>-1416</v>
      </c>
      <c r="L28" s="371">
        <v>-2402</v>
      </c>
      <c r="M28" s="371">
        <v>-2386</v>
      </c>
      <c r="N28" s="276">
        <f>N26-N27</f>
        <v>-3246</v>
      </c>
      <c r="O28" s="277">
        <f t="shared" si="0"/>
        <v>-21494</v>
      </c>
    </row>
    <row r="29" spans="1:17" ht="18" customHeight="1">
      <c r="A29" s="558">
        <v>9</v>
      </c>
      <c r="B29" s="547" t="s">
        <v>33</v>
      </c>
      <c r="C29" s="271" t="s">
        <v>122</v>
      </c>
      <c r="D29" s="369">
        <v>1634</v>
      </c>
      <c r="E29" s="369">
        <v>1432</v>
      </c>
      <c r="F29" s="369">
        <v>1377</v>
      </c>
      <c r="G29" s="369">
        <v>970</v>
      </c>
      <c r="H29" s="369">
        <v>1122</v>
      </c>
      <c r="I29" s="369">
        <v>1031</v>
      </c>
      <c r="J29" s="369">
        <v>948</v>
      </c>
      <c r="K29" s="369">
        <v>991</v>
      </c>
      <c r="L29" s="369">
        <v>925</v>
      </c>
      <c r="M29" s="369">
        <v>1464</v>
      </c>
      <c r="N29" s="272">
        <f>'Feb 13(2)'!AE15</f>
        <v>999</v>
      </c>
      <c r="O29" s="273">
        <f t="shared" si="0"/>
        <v>12893</v>
      </c>
      <c r="Q29" s="264"/>
    </row>
    <row r="30" spans="1:17" ht="18" customHeight="1">
      <c r="A30" s="559"/>
      <c r="B30" s="548"/>
      <c r="C30" s="257" t="s">
        <v>123</v>
      </c>
      <c r="D30" s="370">
        <v>1670</v>
      </c>
      <c r="E30" s="370">
        <v>1756</v>
      </c>
      <c r="F30" s="370">
        <v>2744</v>
      </c>
      <c r="G30" s="370">
        <v>940</v>
      </c>
      <c r="H30" s="370">
        <v>1234</v>
      </c>
      <c r="I30" s="370">
        <v>2040</v>
      </c>
      <c r="J30" s="370">
        <v>2055</v>
      </c>
      <c r="K30" s="370">
        <v>1263</v>
      </c>
      <c r="L30" s="370">
        <v>1982</v>
      </c>
      <c r="M30" s="370">
        <v>2312</v>
      </c>
      <c r="N30" s="261">
        <f>'Feb 13(2)'!S15</f>
        <v>1972</v>
      </c>
      <c r="O30" s="274">
        <f t="shared" si="0"/>
        <v>19968</v>
      </c>
      <c r="Q30" s="264"/>
    </row>
    <row r="31" spans="1:17" ht="18" customHeight="1" thickBot="1">
      <c r="A31" s="560"/>
      <c r="B31" s="549"/>
      <c r="C31" s="275" t="s">
        <v>124</v>
      </c>
      <c r="D31" s="371">
        <v>-36</v>
      </c>
      <c r="E31" s="371">
        <v>-324</v>
      </c>
      <c r="F31" s="371">
        <v>-1367</v>
      </c>
      <c r="G31" s="371">
        <v>30</v>
      </c>
      <c r="H31" s="371">
        <v>-112</v>
      </c>
      <c r="I31" s="371">
        <v>-1009</v>
      </c>
      <c r="J31" s="371">
        <v>-1107</v>
      </c>
      <c r="K31" s="371">
        <v>-272</v>
      </c>
      <c r="L31" s="371">
        <v>-1057</v>
      </c>
      <c r="M31" s="371">
        <v>-848</v>
      </c>
      <c r="N31" s="276">
        <f>N29-N30</f>
        <v>-973</v>
      </c>
      <c r="O31" s="277">
        <f t="shared" si="0"/>
        <v>-7075</v>
      </c>
      <c r="Q31" s="264"/>
    </row>
    <row r="32" spans="1:17" ht="18" customHeight="1">
      <c r="A32" s="561">
        <v>10</v>
      </c>
      <c r="B32" s="547" t="s">
        <v>6</v>
      </c>
      <c r="C32" s="271" t="s">
        <v>122</v>
      </c>
      <c r="D32" s="369">
        <v>0</v>
      </c>
      <c r="E32" s="369">
        <v>30383</v>
      </c>
      <c r="F32" s="369">
        <v>0</v>
      </c>
      <c r="G32" s="369">
        <v>1062</v>
      </c>
      <c r="H32" s="369">
        <v>898</v>
      </c>
      <c r="I32" s="369">
        <v>1969</v>
      </c>
      <c r="J32" s="369">
        <v>289</v>
      </c>
      <c r="K32" s="369">
        <v>886</v>
      </c>
      <c r="L32" s="369">
        <v>1123</v>
      </c>
      <c r="M32" s="369">
        <v>1164</v>
      </c>
      <c r="N32" s="272">
        <f>'Feb 13(2)'!AE16</f>
        <v>1061</v>
      </c>
      <c r="O32" s="273">
        <f t="shared" si="0"/>
        <v>38835</v>
      </c>
      <c r="Q32" s="264"/>
    </row>
    <row r="33" spans="1:17" ht="18" customHeight="1">
      <c r="A33" s="562"/>
      <c r="B33" s="548"/>
      <c r="C33" s="257" t="s">
        <v>123</v>
      </c>
      <c r="D33" s="370">
        <v>24388</v>
      </c>
      <c r="E33" s="370">
        <v>53740</v>
      </c>
      <c r="F33" s="370">
        <v>3174</v>
      </c>
      <c r="G33" s="370">
        <v>1124</v>
      </c>
      <c r="H33" s="370">
        <v>991</v>
      </c>
      <c r="I33" s="370">
        <v>914</v>
      </c>
      <c r="J33" s="370">
        <v>4272</v>
      </c>
      <c r="K33" s="370">
        <v>1303</v>
      </c>
      <c r="L33" s="370">
        <v>1163</v>
      </c>
      <c r="M33" s="370">
        <v>1084</v>
      </c>
      <c r="N33" s="261">
        <f>'Feb 13(2)'!S16</f>
        <v>996</v>
      </c>
      <c r="O33" s="274">
        <f t="shared" si="0"/>
        <v>93149</v>
      </c>
      <c r="Q33" s="264"/>
    </row>
    <row r="34" spans="1:17" ht="18" customHeight="1" thickBot="1">
      <c r="A34" s="563"/>
      <c r="B34" s="549"/>
      <c r="C34" s="275" t="s">
        <v>124</v>
      </c>
      <c r="D34" s="371">
        <v>-24388</v>
      </c>
      <c r="E34" s="371">
        <v>-23357</v>
      </c>
      <c r="F34" s="371">
        <v>-3174</v>
      </c>
      <c r="G34" s="371">
        <v>-62</v>
      </c>
      <c r="H34" s="371">
        <v>-93</v>
      </c>
      <c r="I34" s="371">
        <v>1055</v>
      </c>
      <c r="J34" s="371">
        <v>-3983</v>
      </c>
      <c r="K34" s="371">
        <v>-417</v>
      </c>
      <c r="L34" s="371">
        <v>-40</v>
      </c>
      <c r="M34" s="371">
        <v>80</v>
      </c>
      <c r="N34" s="276">
        <f>N32-N33</f>
        <v>65</v>
      </c>
      <c r="O34" s="277">
        <f t="shared" si="0"/>
        <v>-54314</v>
      </c>
      <c r="Q34" s="264"/>
    </row>
    <row r="35" spans="1:17" ht="18" customHeight="1">
      <c r="A35" s="561">
        <v>11</v>
      </c>
      <c r="B35" s="547" t="s">
        <v>126</v>
      </c>
      <c r="C35" s="271" t="s">
        <v>122</v>
      </c>
      <c r="D35" s="369">
        <v>7749</v>
      </c>
      <c r="E35" s="369">
        <v>17113</v>
      </c>
      <c r="F35" s="369">
        <v>20712</v>
      </c>
      <c r="G35" s="369">
        <v>26248</v>
      </c>
      <c r="H35" s="369">
        <v>16447</v>
      </c>
      <c r="I35" s="369">
        <v>14424</v>
      </c>
      <c r="J35" s="369">
        <v>13355</v>
      </c>
      <c r="K35" s="369">
        <v>12154</v>
      </c>
      <c r="L35" s="369">
        <v>14236</v>
      </c>
      <c r="M35" s="369">
        <v>12445</v>
      </c>
      <c r="N35" s="272">
        <f>'Feb 13(2)'!AE17</f>
        <v>13940</v>
      </c>
      <c r="O35" s="273">
        <f t="shared" si="0"/>
        <v>168823</v>
      </c>
      <c r="Q35" s="264"/>
    </row>
    <row r="36" spans="1:17" ht="18" customHeight="1">
      <c r="A36" s="562"/>
      <c r="B36" s="548"/>
      <c r="C36" s="257" t="s">
        <v>123</v>
      </c>
      <c r="D36" s="370">
        <v>82031</v>
      </c>
      <c r="E36" s="370">
        <v>160534</v>
      </c>
      <c r="F36" s="370">
        <v>34783</v>
      </c>
      <c r="G36" s="370">
        <v>21070</v>
      </c>
      <c r="H36" s="370">
        <v>24278</v>
      </c>
      <c r="I36" s="370">
        <v>21157</v>
      </c>
      <c r="J36" s="370">
        <v>17158</v>
      </c>
      <c r="K36" s="370">
        <v>19463</v>
      </c>
      <c r="L36" s="370">
        <v>19381</v>
      </c>
      <c r="M36" s="370">
        <v>19459</v>
      </c>
      <c r="N36" s="261">
        <f>'Feb 13(2)'!S17</f>
        <v>19952</v>
      </c>
      <c r="O36" s="274">
        <f t="shared" si="0"/>
        <v>439266</v>
      </c>
      <c r="Q36" s="264"/>
    </row>
    <row r="37" spans="1:17" ht="18" customHeight="1" thickBot="1">
      <c r="A37" s="563"/>
      <c r="B37" s="549"/>
      <c r="C37" s="275" t="s">
        <v>124</v>
      </c>
      <c r="D37" s="371">
        <v>-74282</v>
      </c>
      <c r="E37" s="371">
        <v>-143421</v>
      </c>
      <c r="F37" s="371">
        <v>-14071</v>
      </c>
      <c r="G37" s="371">
        <v>5178</v>
      </c>
      <c r="H37" s="371">
        <v>-7831</v>
      </c>
      <c r="I37" s="371">
        <v>-6733</v>
      </c>
      <c r="J37" s="371">
        <v>-3803</v>
      </c>
      <c r="K37" s="371">
        <v>-7309</v>
      </c>
      <c r="L37" s="371">
        <v>-5145</v>
      </c>
      <c r="M37" s="371">
        <v>-7014</v>
      </c>
      <c r="N37" s="276">
        <f>N35-N36</f>
        <v>-6012</v>
      </c>
      <c r="O37" s="277">
        <f t="shared" si="0"/>
        <v>-270443</v>
      </c>
      <c r="Q37" s="264"/>
    </row>
    <row r="38" spans="1:17" ht="18" customHeight="1">
      <c r="A38" s="561">
        <v>12</v>
      </c>
      <c r="B38" s="547" t="s">
        <v>35</v>
      </c>
      <c r="C38" s="271" t="s">
        <v>122</v>
      </c>
      <c r="D38" s="369">
        <v>5902</v>
      </c>
      <c r="E38" s="369">
        <v>7012</v>
      </c>
      <c r="F38" s="369">
        <v>8687</v>
      </c>
      <c r="G38" s="369">
        <v>8318</v>
      </c>
      <c r="H38" s="369">
        <v>6996</v>
      </c>
      <c r="I38" s="369">
        <v>8013</v>
      </c>
      <c r="J38" s="369">
        <v>7654</v>
      </c>
      <c r="K38" s="369">
        <v>7321</v>
      </c>
      <c r="L38" s="369">
        <v>8166</v>
      </c>
      <c r="M38" s="369">
        <v>8629</v>
      </c>
      <c r="N38" s="272">
        <f>'Feb 13(2)'!AE18</f>
        <v>7073</v>
      </c>
      <c r="O38" s="273">
        <f t="shared" si="0"/>
        <v>83771</v>
      </c>
      <c r="Q38" s="264"/>
    </row>
    <row r="39" spans="1:17" ht="18" customHeight="1">
      <c r="A39" s="562"/>
      <c r="B39" s="548"/>
      <c r="C39" s="257" t="s">
        <v>123</v>
      </c>
      <c r="D39" s="370">
        <v>12035</v>
      </c>
      <c r="E39" s="370">
        <v>15530</v>
      </c>
      <c r="F39" s="370">
        <v>17469</v>
      </c>
      <c r="G39" s="370">
        <v>17291</v>
      </c>
      <c r="H39" s="370">
        <v>13621</v>
      </c>
      <c r="I39" s="370">
        <v>21232</v>
      </c>
      <c r="J39" s="370">
        <v>19908</v>
      </c>
      <c r="K39" s="370">
        <v>18732</v>
      </c>
      <c r="L39" s="370">
        <v>25098</v>
      </c>
      <c r="M39" s="370">
        <v>17814</v>
      </c>
      <c r="N39" s="261">
        <f>'Feb 13(2)'!S18</f>
        <v>15671</v>
      </c>
      <c r="O39" s="274">
        <f t="shared" si="0"/>
        <v>194401</v>
      </c>
      <c r="Q39" s="264"/>
    </row>
    <row r="40" spans="1:17" ht="18" customHeight="1" thickBot="1">
      <c r="A40" s="563"/>
      <c r="B40" s="549"/>
      <c r="C40" s="275" t="s">
        <v>124</v>
      </c>
      <c r="D40" s="371">
        <v>-6133</v>
      </c>
      <c r="E40" s="371">
        <v>-8518</v>
      </c>
      <c r="F40" s="371">
        <v>-8782</v>
      </c>
      <c r="G40" s="371">
        <v>-8973</v>
      </c>
      <c r="H40" s="371">
        <v>-6625</v>
      </c>
      <c r="I40" s="371">
        <v>-13219</v>
      </c>
      <c r="J40" s="371">
        <v>-12254</v>
      </c>
      <c r="K40" s="371">
        <v>-11411</v>
      </c>
      <c r="L40" s="371">
        <v>-16932</v>
      </c>
      <c r="M40" s="371">
        <v>-9185</v>
      </c>
      <c r="N40" s="276">
        <f>N38-N39</f>
        <v>-8598</v>
      </c>
      <c r="O40" s="277">
        <f t="shared" si="0"/>
        <v>-110630</v>
      </c>
      <c r="Q40" s="264"/>
    </row>
    <row r="41" spans="1:17" ht="18" customHeight="1">
      <c r="A41" s="561">
        <v>13</v>
      </c>
      <c r="B41" s="547" t="s">
        <v>127</v>
      </c>
      <c r="C41" s="271" t="s">
        <v>122</v>
      </c>
      <c r="D41" s="369">
        <v>2055</v>
      </c>
      <c r="E41" s="369">
        <v>2813</v>
      </c>
      <c r="F41" s="369">
        <v>2640</v>
      </c>
      <c r="G41" s="369">
        <v>2538</v>
      </c>
      <c r="H41" s="369">
        <v>2879</v>
      </c>
      <c r="I41" s="369">
        <v>3586</v>
      </c>
      <c r="J41" s="369">
        <v>3258</v>
      </c>
      <c r="K41" s="369">
        <v>50000</v>
      </c>
      <c r="L41" s="369">
        <v>7847</v>
      </c>
      <c r="M41" s="369">
        <v>3718</v>
      </c>
      <c r="N41" s="272">
        <f>'Feb 13(2)'!AE19</f>
        <v>3618</v>
      </c>
      <c r="O41" s="273">
        <f t="shared" si="0"/>
        <v>84952</v>
      </c>
      <c r="Q41" s="264"/>
    </row>
    <row r="42" spans="1:17" ht="18" customHeight="1">
      <c r="A42" s="562"/>
      <c r="B42" s="548"/>
      <c r="C42" s="257" t="s">
        <v>123</v>
      </c>
      <c r="D42" s="370">
        <v>5451</v>
      </c>
      <c r="E42" s="370">
        <v>7169</v>
      </c>
      <c r="F42" s="370">
        <v>4071</v>
      </c>
      <c r="G42" s="370">
        <v>3824</v>
      </c>
      <c r="H42" s="370">
        <v>3826</v>
      </c>
      <c r="I42" s="370">
        <v>3852</v>
      </c>
      <c r="J42" s="370">
        <v>4380</v>
      </c>
      <c r="K42" s="370">
        <v>50621</v>
      </c>
      <c r="L42" s="370">
        <v>7178</v>
      </c>
      <c r="M42" s="370">
        <v>3043</v>
      </c>
      <c r="N42" s="261">
        <f>'Feb 13(2)'!S19</f>
        <v>2920</v>
      </c>
      <c r="O42" s="274">
        <f t="shared" si="0"/>
        <v>96335</v>
      </c>
      <c r="Q42" s="264"/>
    </row>
    <row r="43" spans="1:17" ht="18" customHeight="1" thickBot="1">
      <c r="A43" s="563"/>
      <c r="B43" s="549"/>
      <c r="C43" s="275" t="s">
        <v>124</v>
      </c>
      <c r="D43" s="371">
        <v>-3396</v>
      </c>
      <c r="E43" s="371">
        <v>-4356</v>
      </c>
      <c r="F43" s="371">
        <v>-1431</v>
      </c>
      <c r="G43" s="371">
        <v>-1286</v>
      </c>
      <c r="H43" s="371">
        <v>-947</v>
      </c>
      <c r="I43" s="371">
        <v>-266</v>
      </c>
      <c r="J43" s="371">
        <v>-1122</v>
      </c>
      <c r="K43" s="371">
        <v>-621</v>
      </c>
      <c r="L43" s="371">
        <v>669</v>
      </c>
      <c r="M43" s="371">
        <v>675</v>
      </c>
      <c r="N43" s="276">
        <f>N41-N42</f>
        <v>698</v>
      </c>
      <c r="O43" s="277">
        <f t="shared" si="0"/>
        <v>-11383</v>
      </c>
      <c r="Q43" s="264"/>
    </row>
    <row r="44" spans="1:17" ht="18" customHeight="1">
      <c r="A44" s="561">
        <v>14</v>
      </c>
      <c r="B44" s="547" t="s">
        <v>36</v>
      </c>
      <c r="C44" s="271" t="s">
        <v>122</v>
      </c>
      <c r="D44" s="369">
        <v>7453</v>
      </c>
      <c r="E44" s="369">
        <v>8341</v>
      </c>
      <c r="F44" s="369">
        <v>8136</v>
      </c>
      <c r="G44" s="369">
        <v>8361</v>
      </c>
      <c r="H44" s="369">
        <v>9331</v>
      </c>
      <c r="I44" s="369">
        <v>9387</v>
      </c>
      <c r="J44" s="369">
        <v>11821</v>
      </c>
      <c r="K44" s="369">
        <v>9133</v>
      </c>
      <c r="L44" s="369">
        <v>11781</v>
      </c>
      <c r="M44" s="369">
        <v>7436</v>
      </c>
      <c r="N44" s="272">
        <f>'Feb 13(2)'!AE20</f>
        <v>9596</v>
      </c>
      <c r="O44" s="273">
        <f t="shared" si="0"/>
        <v>100776</v>
      </c>
      <c r="Q44" s="264"/>
    </row>
    <row r="45" spans="1:17" ht="18" customHeight="1">
      <c r="A45" s="562"/>
      <c r="B45" s="548"/>
      <c r="C45" s="257" t="s">
        <v>123</v>
      </c>
      <c r="D45" s="370">
        <v>13965</v>
      </c>
      <c r="E45" s="370">
        <v>16076</v>
      </c>
      <c r="F45" s="370">
        <v>18821</v>
      </c>
      <c r="G45" s="370">
        <v>24261</v>
      </c>
      <c r="H45" s="370">
        <v>34221</v>
      </c>
      <c r="I45" s="370">
        <v>25978</v>
      </c>
      <c r="J45" s="370">
        <v>31611</v>
      </c>
      <c r="K45" s="370">
        <v>20035</v>
      </c>
      <c r="L45" s="370">
        <v>25729</v>
      </c>
      <c r="M45" s="370">
        <v>23016</v>
      </c>
      <c r="N45" s="261">
        <f>'Feb 13(2)'!S20</f>
        <v>41258</v>
      </c>
      <c r="O45" s="274">
        <f t="shared" si="0"/>
        <v>274971</v>
      </c>
      <c r="Q45" s="264"/>
    </row>
    <row r="46" spans="1:17" ht="18" customHeight="1" thickBot="1">
      <c r="A46" s="563"/>
      <c r="B46" s="549"/>
      <c r="C46" s="275" t="s">
        <v>124</v>
      </c>
      <c r="D46" s="371">
        <v>-6512</v>
      </c>
      <c r="E46" s="371">
        <v>-7735</v>
      </c>
      <c r="F46" s="371">
        <v>-10685</v>
      </c>
      <c r="G46" s="371">
        <v>-15900</v>
      </c>
      <c r="H46" s="371">
        <v>-24890</v>
      </c>
      <c r="I46" s="371">
        <v>-16591</v>
      </c>
      <c r="J46" s="371">
        <v>-19790</v>
      </c>
      <c r="K46" s="371">
        <v>-10902</v>
      </c>
      <c r="L46" s="371">
        <v>-13948</v>
      </c>
      <c r="M46" s="371">
        <v>-15580</v>
      </c>
      <c r="N46" s="276">
        <f>N44-N45</f>
        <v>-31662</v>
      </c>
      <c r="O46" s="277">
        <f t="shared" si="0"/>
        <v>-174195</v>
      </c>
      <c r="Q46" s="264"/>
    </row>
    <row r="47" spans="1:17" ht="18" customHeight="1">
      <c r="A47" s="561">
        <v>15</v>
      </c>
      <c r="B47" s="547" t="s">
        <v>13</v>
      </c>
      <c r="C47" s="271" t="s">
        <v>122</v>
      </c>
      <c r="D47" s="369">
        <v>568</v>
      </c>
      <c r="E47" s="369">
        <v>330</v>
      </c>
      <c r="F47" s="369">
        <v>43</v>
      </c>
      <c r="G47" s="369">
        <v>352</v>
      </c>
      <c r="H47" s="369">
        <v>542</v>
      </c>
      <c r="I47" s="369">
        <v>425</v>
      </c>
      <c r="J47" s="369">
        <v>412</v>
      </c>
      <c r="K47" s="369">
        <v>3081</v>
      </c>
      <c r="L47" s="369">
        <v>432</v>
      </c>
      <c r="M47" s="369">
        <v>500</v>
      </c>
      <c r="N47" s="272">
        <f>'Feb 13(2)'!AE21</f>
        <v>527</v>
      </c>
      <c r="O47" s="273">
        <f t="shared" si="0"/>
        <v>7212</v>
      </c>
      <c r="Q47" s="264"/>
    </row>
    <row r="48" spans="1:15" ht="18" customHeight="1">
      <c r="A48" s="564"/>
      <c r="B48" s="553"/>
      <c r="C48" s="257" t="s">
        <v>123</v>
      </c>
      <c r="D48" s="370">
        <v>868</v>
      </c>
      <c r="E48" s="370">
        <v>583</v>
      </c>
      <c r="F48" s="370">
        <v>386</v>
      </c>
      <c r="G48" s="370">
        <v>686</v>
      </c>
      <c r="H48" s="370">
        <v>528</v>
      </c>
      <c r="I48" s="370">
        <v>513</v>
      </c>
      <c r="J48" s="370">
        <v>2985</v>
      </c>
      <c r="K48" s="370">
        <v>546</v>
      </c>
      <c r="L48" s="370">
        <v>491</v>
      </c>
      <c r="M48" s="370">
        <v>554</v>
      </c>
      <c r="N48" s="261">
        <f>'Feb 13(2)'!S21</f>
        <v>709</v>
      </c>
      <c r="O48" s="274">
        <f t="shared" si="0"/>
        <v>8849</v>
      </c>
    </row>
    <row r="49" spans="1:15" ht="18" customHeight="1" thickBot="1">
      <c r="A49" s="565"/>
      <c r="B49" s="554"/>
      <c r="C49" s="275" t="s">
        <v>124</v>
      </c>
      <c r="D49" s="371">
        <v>-300</v>
      </c>
      <c r="E49" s="371">
        <v>-253</v>
      </c>
      <c r="F49" s="371">
        <v>-343</v>
      </c>
      <c r="G49" s="371">
        <v>-334</v>
      </c>
      <c r="H49" s="371">
        <v>14</v>
      </c>
      <c r="I49" s="371">
        <v>-88</v>
      </c>
      <c r="J49" s="371">
        <v>-2573</v>
      </c>
      <c r="K49" s="371">
        <v>2535</v>
      </c>
      <c r="L49" s="371">
        <v>-59</v>
      </c>
      <c r="M49" s="371">
        <v>-54</v>
      </c>
      <c r="N49" s="276">
        <f>N47-N48</f>
        <v>-182</v>
      </c>
      <c r="O49" s="277">
        <f t="shared" si="0"/>
        <v>-1637</v>
      </c>
    </row>
    <row r="50" spans="1:15" ht="18" customHeight="1">
      <c r="A50" s="561">
        <v>16</v>
      </c>
      <c r="B50" s="547" t="s">
        <v>12</v>
      </c>
      <c r="C50" s="271" t="s">
        <v>122</v>
      </c>
      <c r="D50" s="369">
        <v>327</v>
      </c>
      <c r="E50" s="369">
        <v>319</v>
      </c>
      <c r="F50" s="369">
        <v>297</v>
      </c>
      <c r="G50" s="369">
        <v>334</v>
      </c>
      <c r="H50" s="369">
        <v>496</v>
      </c>
      <c r="I50" s="369">
        <v>383</v>
      </c>
      <c r="J50" s="369">
        <v>840</v>
      </c>
      <c r="K50" s="369">
        <v>465</v>
      </c>
      <c r="L50" s="369">
        <v>396</v>
      </c>
      <c r="M50" s="369">
        <v>408</v>
      </c>
      <c r="N50" s="272">
        <f>'Feb 13(2)'!AE22</f>
        <v>438</v>
      </c>
      <c r="O50" s="273">
        <f t="shared" si="0"/>
        <v>4703</v>
      </c>
    </row>
    <row r="51" spans="1:15" ht="18" customHeight="1">
      <c r="A51" s="562"/>
      <c r="B51" s="548"/>
      <c r="C51" s="257" t="s">
        <v>123</v>
      </c>
      <c r="D51" s="370">
        <v>197</v>
      </c>
      <c r="E51" s="370">
        <v>227</v>
      </c>
      <c r="F51" s="370">
        <v>212</v>
      </c>
      <c r="G51" s="370">
        <v>836</v>
      </c>
      <c r="H51" s="370">
        <v>1035</v>
      </c>
      <c r="I51" s="370">
        <v>786</v>
      </c>
      <c r="J51" s="370">
        <v>29600</v>
      </c>
      <c r="K51" s="370">
        <v>1100</v>
      </c>
      <c r="L51" s="370">
        <v>3027</v>
      </c>
      <c r="M51" s="370">
        <v>1004</v>
      </c>
      <c r="N51" s="261">
        <f>'Feb 13(2)'!S22</f>
        <v>312</v>
      </c>
      <c r="O51" s="274">
        <f t="shared" si="0"/>
        <v>38336</v>
      </c>
    </row>
    <row r="52" spans="1:15" ht="18" customHeight="1" thickBot="1">
      <c r="A52" s="563"/>
      <c r="B52" s="549"/>
      <c r="C52" s="275" t="s">
        <v>124</v>
      </c>
      <c r="D52" s="371">
        <v>130</v>
      </c>
      <c r="E52" s="371">
        <v>92</v>
      </c>
      <c r="F52" s="371">
        <v>85</v>
      </c>
      <c r="G52" s="371">
        <v>-502</v>
      </c>
      <c r="H52" s="371">
        <v>-539</v>
      </c>
      <c r="I52" s="371">
        <v>-403</v>
      </c>
      <c r="J52" s="371">
        <v>-28760</v>
      </c>
      <c r="K52" s="371">
        <v>-635</v>
      </c>
      <c r="L52" s="371">
        <v>-2631</v>
      </c>
      <c r="M52" s="371">
        <v>-596</v>
      </c>
      <c r="N52" s="276">
        <f>N50-N51</f>
        <v>126</v>
      </c>
      <c r="O52" s="277">
        <f t="shared" si="0"/>
        <v>-33633</v>
      </c>
    </row>
    <row r="53" spans="1:15" ht="18" customHeight="1">
      <c r="A53" s="561">
        <v>17</v>
      </c>
      <c r="B53" s="547" t="s">
        <v>69</v>
      </c>
      <c r="C53" s="271" t="s">
        <v>122</v>
      </c>
      <c r="D53" s="369">
        <v>0</v>
      </c>
      <c r="E53" s="369">
        <v>1932</v>
      </c>
      <c r="F53" s="369">
        <v>1600</v>
      </c>
      <c r="G53" s="369">
        <v>1960</v>
      </c>
      <c r="H53" s="369">
        <v>2085</v>
      </c>
      <c r="I53" s="272">
        <v>1964</v>
      </c>
      <c r="J53" s="272">
        <v>1881</v>
      </c>
      <c r="K53" s="272">
        <v>2305</v>
      </c>
      <c r="L53" s="272">
        <v>2501</v>
      </c>
      <c r="M53" s="272">
        <v>2408</v>
      </c>
      <c r="N53" s="272">
        <f>'Feb 13(2)'!AE23</f>
        <v>2386</v>
      </c>
      <c r="O53" s="273">
        <f t="shared" si="0"/>
        <v>21022</v>
      </c>
    </row>
    <row r="54" spans="1:15" ht="18" customHeight="1">
      <c r="A54" s="562"/>
      <c r="B54" s="548"/>
      <c r="C54" s="257" t="s">
        <v>123</v>
      </c>
      <c r="D54" s="370">
        <v>52821</v>
      </c>
      <c r="E54" s="370">
        <v>15931</v>
      </c>
      <c r="F54" s="370">
        <v>1413</v>
      </c>
      <c r="G54" s="370">
        <v>2109</v>
      </c>
      <c r="H54" s="370">
        <v>1746</v>
      </c>
      <c r="I54" s="261">
        <v>1557</v>
      </c>
      <c r="J54" s="261">
        <v>3026</v>
      </c>
      <c r="K54" s="261">
        <v>2572</v>
      </c>
      <c r="L54" s="261">
        <v>1863</v>
      </c>
      <c r="M54" s="261">
        <v>1594</v>
      </c>
      <c r="N54" s="261">
        <f>'Feb 13(2)'!S23</f>
        <v>2774</v>
      </c>
      <c r="O54" s="274">
        <f t="shared" si="0"/>
        <v>87406</v>
      </c>
    </row>
    <row r="55" spans="1:15" ht="18" customHeight="1" thickBot="1">
      <c r="A55" s="563"/>
      <c r="B55" s="549"/>
      <c r="C55" s="275" t="s">
        <v>124</v>
      </c>
      <c r="D55" s="371">
        <v>-52821</v>
      </c>
      <c r="E55" s="371">
        <v>-13999</v>
      </c>
      <c r="F55" s="371">
        <v>187</v>
      </c>
      <c r="G55" s="371">
        <v>-149</v>
      </c>
      <c r="H55" s="371">
        <v>339</v>
      </c>
      <c r="I55" s="276">
        <v>407</v>
      </c>
      <c r="J55" s="276">
        <v>-1145</v>
      </c>
      <c r="K55" s="276">
        <v>-267</v>
      </c>
      <c r="L55" s="276">
        <v>638</v>
      </c>
      <c r="M55" s="276">
        <v>814</v>
      </c>
      <c r="N55" s="276">
        <f>N53-N54</f>
        <v>-388</v>
      </c>
      <c r="O55" s="277">
        <f t="shared" si="0"/>
        <v>-66384</v>
      </c>
    </row>
    <row r="56" spans="1:15" ht="18" customHeight="1">
      <c r="A56" s="561">
        <v>18</v>
      </c>
      <c r="B56" s="547" t="s">
        <v>37</v>
      </c>
      <c r="C56" s="271" t="s">
        <v>122</v>
      </c>
      <c r="D56" s="369">
        <v>6914</v>
      </c>
      <c r="E56" s="369">
        <v>5773</v>
      </c>
      <c r="F56" s="369">
        <v>4802</v>
      </c>
      <c r="G56" s="369">
        <v>4880</v>
      </c>
      <c r="H56" s="369">
        <v>4809</v>
      </c>
      <c r="I56" s="272">
        <v>4929</v>
      </c>
      <c r="J56" s="272">
        <v>5041</v>
      </c>
      <c r="K56" s="272">
        <v>4382</v>
      </c>
      <c r="L56" s="272">
        <v>4691</v>
      </c>
      <c r="M56" s="272">
        <v>5069</v>
      </c>
      <c r="N56" s="272">
        <f>'Feb 13(2)'!AE24</f>
        <v>5000</v>
      </c>
      <c r="O56" s="273">
        <f t="shared" si="0"/>
        <v>56290</v>
      </c>
    </row>
    <row r="57" spans="1:15" ht="18" customHeight="1">
      <c r="A57" s="562"/>
      <c r="B57" s="548"/>
      <c r="C57" s="257" t="s">
        <v>123</v>
      </c>
      <c r="D57" s="370">
        <v>10152</v>
      </c>
      <c r="E57" s="370">
        <v>8050</v>
      </c>
      <c r="F57" s="370">
        <v>6626</v>
      </c>
      <c r="G57" s="370">
        <v>11472</v>
      </c>
      <c r="H57" s="370">
        <v>8317</v>
      </c>
      <c r="I57" s="261">
        <v>9665</v>
      </c>
      <c r="J57" s="261">
        <v>12485</v>
      </c>
      <c r="K57" s="261">
        <v>13473</v>
      </c>
      <c r="L57" s="261">
        <v>18450</v>
      </c>
      <c r="M57" s="261">
        <v>23069</v>
      </c>
      <c r="N57" s="261">
        <f>'Feb 13(2)'!S24</f>
        <v>25940</v>
      </c>
      <c r="O57" s="274">
        <f t="shared" si="0"/>
        <v>147699</v>
      </c>
    </row>
    <row r="58" spans="1:15" ht="18" customHeight="1" thickBot="1">
      <c r="A58" s="563"/>
      <c r="B58" s="549"/>
      <c r="C58" s="275" t="s">
        <v>124</v>
      </c>
      <c r="D58" s="371">
        <v>-3238</v>
      </c>
      <c r="E58" s="371">
        <v>-2277</v>
      </c>
      <c r="F58" s="371">
        <v>-1824</v>
      </c>
      <c r="G58" s="371">
        <v>-6592</v>
      </c>
      <c r="H58" s="371">
        <v>-3508</v>
      </c>
      <c r="I58" s="276">
        <v>-4736</v>
      </c>
      <c r="J58" s="276">
        <v>-7444</v>
      </c>
      <c r="K58" s="276">
        <v>-9091</v>
      </c>
      <c r="L58" s="276">
        <v>-13759</v>
      </c>
      <c r="M58" s="276">
        <v>-18000</v>
      </c>
      <c r="N58" s="276">
        <f>N56-N57</f>
        <v>-20940</v>
      </c>
      <c r="O58" s="277">
        <f t="shared" si="0"/>
        <v>-91409</v>
      </c>
    </row>
    <row r="59" spans="1:15" ht="18" customHeight="1">
      <c r="A59" s="561">
        <v>19</v>
      </c>
      <c r="B59" s="547" t="s">
        <v>70</v>
      </c>
      <c r="C59" s="271" t="s">
        <v>122</v>
      </c>
      <c r="D59" s="369">
        <v>2685</v>
      </c>
      <c r="E59" s="369">
        <v>4833</v>
      </c>
      <c r="F59" s="369">
        <v>3564</v>
      </c>
      <c r="G59" s="369">
        <v>63</v>
      </c>
      <c r="H59" s="369">
        <v>3338</v>
      </c>
      <c r="I59" s="272">
        <v>4403</v>
      </c>
      <c r="J59" s="272">
        <v>10748</v>
      </c>
      <c r="K59" s="272">
        <v>4384</v>
      </c>
      <c r="L59" s="272">
        <v>3924</v>
      </c>
      <c r="M59" s="272">
        <v>7711</v>
      </c>
      <c r="N59" s="272">
        <f>'Feb 13(2)'!AE25</f>
        <v>6053</v>
      </c>
      <c r="O59" s="273">
        <f t="shared" si="0"/>
        <v>51706</v>
      </c>
    </row>
    <row r="60" spans="1:15" ht="18" customHeight="1">
      <c r="A60" s="562"/>
      <c r="B60" s="548"/>
      <c r="C60" s="257" t="s">
        <v>123</v>
      </c>
      <c r="D60" s="370">
        <v>10256</v>
      </c>
      <c r="E60" s="370">
        <v>19204</v>
      </c>
      <c r="F60" s="370">
        <v>14155</v>
      </c>
      <c r="G60" s="370">
        <v>8785</v>
      </c>
      <c r="H60" s="370">
        <v>11644</v>
      </c>
      <c r="I60" s="261">
        <v>13583</v>
      </c>
      <c r="J60" s="261">
        <v>18169</v>
      </c>
      <c r="K60" s="261">
        <v>12024</v>
      </c>
      <c r="L60" s="261">
        <v>13291</v>
      </c>
      <c r="M60" s="261">
        <v>42410</v>
      </c>
      <c r="N60" s="261">
        <f>'Feb 13(2)'!S25</f>
        <v>29955</v>
      </c>
      <c r="O60" s="274">
        <f t="shared" si="0"/>
        <v>193476</v>
      </c>
    </row>
    <row r="61" spans="1:17" ht="18" customHeight="1" thickBot="1">
      <c r="A61" s="563"/>
      <c r="B61" s="549"/>
      <c r="C61" s="275" t="s">
        <v>124</v>
      </c>
      <c r="D61" s="371">
        <v>-7571</v>
      </c>
      <c r="E61" s="371">
        <v>-14371</v>
      </c>
      <c r="F61" s="371">
        <v>-10591</v>
      </c>
      <c r="G61" s="371">
        <v>-8722</v>
      </c>
      <c r="H61" s="371">
        <v>-8306</v>
      </c>
      <c r="I61" s="276">
        <v>-9180</v>
      </c>
      <c r="J61" s="276">
        <v>-7421</v>
      </c>
      <c r="K61" s="276">
        <v>-7640</v>
      </c>
      <c r="L61" s="276">
        <v>-9367</v>
      </c>
      <c r="M61" s="276">
        <v>-34699</v>
      </c>
      <c r="N61" s="276">
        <f>N59-N60</f>
        <v>-23902</v>
      </c>
      <c r="O61" s="277">
        <f t="shared" si="0"/>
        <v>-141770</v>
      </c>
      <c r="Q61" s="264"/>
    </row>
    <row r="62" spans="1:17" ht="18" customHeight="1">
      <c r="A62" s="561">
        <v>20</v>
      </c>
      <c r="B62" s="547" t="s">
        <v>71</v>
      </c>
      <c r="C62" s="271" t="s">
        <v>122</v>
      </c>
      <c r="D62" s="369">
        <v>9539</v>
      </c>
      <c r="E62" s="369">
        <v>9953</v>
      </c>
      <c r="F62" s="369">
        <v>12317</v>
      </c>
      <c r="G62" s="369">
        <v>11891</v>
      </c>
      <c r="H62" s="369">
        <v>10870</v>
      </c>
      <c r="I62" s="272">
        <v>12219</v>
      </c>
      <c r="J62" s="272">
        <v>10385</v>
      </c>
      <c r="K62" s="272">
        <v>10093</v>
      </c>
      <c r="L62" s="272">
        <v>11757</v>
      </c>
      <c r="M62" s="272">
        <v>10408</v>
      </c>
      <c r="N62" s="272">
        <f>'Feb 13(2)'!AE26</f>
        <v>12108</v>
      </c>
      <c r="O62" s="273">
        <f t="shared" si="0"/>
        <v>121540</v>
      </c>
      <c r="Q62" s="264"/>
    </row>
    <row r="63" spans="1:17" ht="18" customHeight="1">
      <c r="A63" s="562"/>
      <c r="B63" s="548"/>
      <c r="C63" s="257" t="s">
        <v>123</v>
      </c>
      <c r="D63" s="370">
        <v>21451</v>
      </c>
      <c r="E63" s="370">
        <v>21633</v>
      </c>
      <c r="F63" s="370">
        <v>15369</v>
      </c>
      <c r="G63" s="370">
        <v>16039</v>
      </c>
      <c r="H63" s="370">
        <v>14421</v>
      </c>
      <c r="I63" s="261">
        <v>16905</v>
      </c>
      <c r="J63" s="261">
        <v>16876</v>
      </c>
      <c r="K63" s="261">
        <v>15645</v>
      </c>
      <c r="L63" s="261">
        <v>18468</v>
      </c>
      <c r="M63" s="261">
        <v>19866</v>
      </c>
      <c r="N63" s="261">
        <f>'Feb 13(2)'!S26</f>
        <v>18067</v>
      </c>
      <c r="O63" s="274">
        <f t="shared" si="0"/>
        <v>194740</v>
      </c>
      <c r="Q63" s="264"/>
    </row>
    <row r="64" spans="1:17" ht="18" customHeight="1" thickBot="1">
      <c r="A64" s="563"/>
      <c r="B64" s="549"/>
      <c r="C64" s="275" t="s">
        <v>124</v>
      </c>
      <c r="D64" s="371">
        <v>-11912</v>
      </c>
      <c r="E64" s="371">
        <v>-11680</v>
      </c>
      <c r="F64" s="371">
        <v>-3052</v>
      </c>
      <c r="G64" s="371">
        <v>-4148</v>
      </c>
      <c r="H64" s="371">
        <v>-3551</v>
      </c>
      <c r="I64" s="276">
        <v>-4686</v>
      </c>
      <c r="J64" s="276">
        <v>-6491</v>
      </c>
      <c r="K64" s="276">
        <v>-5552</v>
      </c>
      <c r="L64" s="276">
        <v>-6711</v>
      </c>
      <c r="M64" s="276">
        <v>-9458</v>
      </c>
      <c r="N64" s="276">
        <f>N62-N63</f>
        <v>-5959</v>
      </c>
      <c r="O64" s="277">
        <f t="shared" si="0"/>
        <v>-73200</v>
      </c>
      <c r="Q64" s="354"/>
    </row>
    <row r="65" spans="1:17" ht="18" customHeight="1">
      <c r="A65" s="561">
        <v>21</v>
      </c>
      <c r="B65" s="547" t="s">
        <v>72</v>
      </c>
      <c r="C65" s="271" t="s">
        <v>122</v>
      </c>
      <c r="D65" s="369">
        <v>564</v>
      </c>
      <c r="E65" s="369">
        <v>946</v>
      </c>
      <c r="F65" s="369">
        <v>809</v>
      </c>
      <c r="G65" s="369">
        <v>895</v>
      </c>
      <c r="H65" s="369">
        <v>788</v>
      </c>
      <c r="I65" s="272">
        <v>0</v>
      </c>
      <c r="J65" s="272">
        <v>955</v>
      </c>
      <c r="K65" s="272">
        <v>781</v>
      </c>
      <c r="L65" s="272">
        <v>819</v>
      </c>
      <c r="M65" s="272">
        <v>915</v>
      </c>
      <c r="N65" s="272">
        <f>'Feb 13(2)'!AE27</f>
        <v>848</v>
      </c>
      <c r="O65" s="273">
        <f t="shared" si="0"/>
        <v>8320</v>
      </c>
      <c r="Q65" s="264"/>
    </row>
    <row r="66" spans="1:17" ht="18" customHeight="1">
      <c r="A66" s="562"/>
      <c r="B66" s="548"/>
      <c r="C66" s="257" t="s">
        <v>123</v>
      </c>
      <c r="D66" s="370">
        <v>2004</v>
      </c>
      <c r="E66" s="370">
        <v>2929</v>
      </c>
      <c r="F66" s="370">
        <v>2115</v>
      </c>
      <c r="G66" s="370">
        <v>2378</v>
      </c>
      <c r="H66" s="370">
        <v>2008</v>
      </c>
      <c r="I66" s="261">
        <v>3704</v>
      </c>
      <c r="J66" s="261">
        <v>5399</v>
      </c>
      <c r="K66" s="261">
        <v>1875</v>
      </c>
      <c r="L66" s="261">
        <v>1483</v>
      </c>
      <c r="M66" s="261">
        <v>1142</v>
      </c>
      <c r="N66" s="261">
        <f>'Feb 13(2)'!S27</f>
        <v>899</v>
      </c>
      <c r="O66" s="274">
        <f t="shared" si="0"/>
        <v>25936</v>
      </c>
      <c r="Q66" s="264"/>
    </row>
    <row r="67" spans="1:17" ht="18" customHeight="1" thickBot="1">
      <c r="A67" s="563"/>
      <c r="B67" s="549"/>
      <c r="C67" s="275" t="s">
        <v>124</v>
      </c>
      <c r="D67" s="371">
        <v>-1440</v>
      </c>
      <c r="E67" s="371">
        <v>-1983</v>
      </c>
      <c r="F67" s="371">
        <v>-1306</v>
      </c>
      <c r="G67" s="371">
        <v>-1483</v>
      </c>
      <c r="H67" s="371">
        <v>-1220</v>
      </c>
      <c r="I67" s="276">
        <v>-3704</v>
      </c>
      <c r="J67" s="276">
        <v>-4444</v>
      </c>
      <c r="K67" s="276">
        <v>-1094</v>
      </c>
      <c r="L67" s="276">
        <v>-664</v>
      </c>
      <c r="M67" s="276">
        <v>-227</v>
      </c>
      <c r="N67" s="276">
        <f>N65-N66</f>
        <v>-51</v>
      </c>
      <c r="O67" s="277">
        <f t="shared" si="0"/>
        <v>-17616</v>
      </c>
      <c r="Q67" s="264"/>
    </row>
    <row r="68" spans="1:17" ht="18" customHeight="1">
      <c r="A68" s="561">
        <v>22</v>
      </c>
      <c r="B68" s="547" t="s">
        <v>7</v>
      </c>
      <c r="C68" s="271" t="s">
        <v>122</v>
      </c>
      <c r="D68" s="369">
        <v>2086</v>
      </c>
      <c r="E68" s="369">
        <v>2467</v>
      </c>
      <c r="F68" s="369">
        <v>2180</v>
      </c>
      <c r="G68" s="369">
        <v>2293</v>
      </c>
      <c r="H68" s="369">
        <v>4234</v>
      </c>
      <c r="I68" s="272">
        <v>2335</v>
      </c>
      <c r="J68" s="272">
        <v>0</v>
      </c>
      <c r="K68" s="272">
        <v>2082</v>
      </c>
      <c r="L68" s="272">
        <v>2193</v>
      </c>
      <c r="M68" s="272">
        <v>2610</v>
      </c>
      <c r="N68" s="272">
        <f>'Feb 13(2)'!AE28</f>
        <v>2038</v>
      </c>
      <c r="O68" s="273">
        <f t="shared" si="0"/>
        <v>24518</v>
      </c>
      <c r="Q68" s="264"/>
    </row>
    <row r="69" spans="1:17" ht="18" customHeight="1">
      <c r="A69" s="562"/>
      <c r="B69" s="548"/>
      <c r="C69" s="257" t="s">
        <v>123</v>
      </c>
      <c r="D69" s="370">
        <v>23148</v>
      </c>
      <c r="E69" s="370">
        <v>49304</v>
      </c>
      <c r="F69" s="370">
        <v>17863</v>
      </c>
      <c r="G69" s="370">
        <v>27996</v>
      </c>
      <c r="H69" s="370">
        <v>44834</v>
      </c>
      <c r="I69" s="261">
        <v>42563</v>
      </c>
      <c r="J69" s="261">
        <v>15660</v>
      </c>
      <c r="K69" s="261">
        <v>6277</v>
      </c>
      <c r="L69" s="261">
        <v>5458</v>
      </c>
      <c r="M69" s="261">
        <v>6632</v>
      </c>
      <c r="N69" s="261">
        <f>'Feb 13(2)'!S28</f>
        <v>4941</v>
      </c>
      <c r="O69" s="274">
        <f t="shared" si="0"/>
        <v>244676</v>
      </c>
      <c r="Q69" s="264"/>
    </row>
    <row r="70" spans="1:17" ht="18" customHeight="1" thickBot="1">
      <c r="A70" s="563"/>
      <c r="B70" s="549"/>
      <c r="C70" s="275" t="s">
        <v>124</v>
      </c>
      <c r="D70" s="371">
        <v>-21062</v>
      </c>
      <c r="E70" s="371">
        <v>-46837</v>
      </c>
      <c r="F70" s="371">
        <v>-15683</v>
      </c>
      <c r="G70" s="371">
        <v>-25703</v>
      </c>
      <c r="H70" s="371">
        <v>-40600</v>
      </c>
      <c r="I70" s="276">
        <v>-40228</v>
      </c>
      <c r="J70" s="276">
        <v>-15660</v>
      </c>
      <c r="K70" s="276">
        <v>-4195</v>
      </c>
      <c r="L70" s="276">
        <v>-3265</v>
      </c>
      <c r="M70" s="276">
        <v>-4022</v>
      </c>
      <c r="N70" s="276">
        <f>N68-N69</f>
        <v>-2903</v>
      </c>
      <c r="O70" s="277">
        <f aca="true" t="shared" si="1" ref="O70:O85">SUM(D70:N70)</f>
        <v>-220158</v>
      </c>
      <c r="Q70" s="264"/>
    </row>
    <row r="71" spans="1:17" ht="18" customHeight="1">
      <c r="A71" s="561">
        <v>23</v>
      </c>
      <c r="B71" s="547" t="s">
        <v>8</v>
      </c>
      <c r="C71" s="271" t="s">
        <v>122</v>
      </c>
      <c r="D71" s="369">
        <v>2309</v>
      </c>
      <c r="E71" s="369">
        <v>3016</v>
      </c>
      <c r="F71" s="369">
        <v>2560</v>
      </c>
      <c r="G71" s="369">
        <v>2589</v>
      </c>
      <c r="H71" s="369">
        <v>2567</v>
      </c>
      <c r="I71" s="272">
        <v>2923</v>
      </c>
      <c r="J71" s="272">
        <v>3032</v>
      </c>
      <c r="K71" s="272">
        <v>2583</v>
      </c>
      <c r="L71" s="272">
        <v>2625</v>
      </c>
      <c r="M71" s="272">
        <v>2805</v>
      </c>
      <c r="N71" s="272">
        <f>'Feb 13(2)'!AE29</f>
        <v>2331</v>
      </c>
      <c r="O71" s="273">
        <f t="shared" si="1"/>
        <v>29340</v>
      </c>
      <c r="Q71" s="264"/>
    </row>
    <row r="72" spans="1:17" ht="18" customHeight="1">
      <c r="A72" s="562"/>
      <c r="B72" s="548"/>
      <c r="C72" s="257" t="s">
        <v>123</v>
      </c>
      <c r="D72" s="370">
        <v>4162</v>
      </c>
      <c r="E72" s="370">
        <v>3967</v>
      </c>
      <c r="F72" s="370">
        <v>3190</v>
      </c>
      <c r="G72" s="370">
        <v>3257</v>
      </c>
      <c r="H72" s="370">
        <v>2957</v>
      </c>
      <c r="I72" s="261">
        <v>3567</v>
      </c>
      <c r="J72" s="261">
        <v>3159</v>
      </c>
      <c r="K72" s="261">
        <v>2635</v>
      </c>
      <c r="L72" s="261">
        <v>3889</v>
      </c>
      <c r="M72" s="261">
        <v>3971</v>
      </c>
      <c r="N72" s="261">
        <f>'Feb 13(2)'!S29</f>
        <v>4046</v>
      </c>
      <c r="O72" s="274">
        <f t="shared" si="1"/>
        <v>38800</v>
      </c>
      <c r="Q72" s="264"/>
    </row>
    <row r="73" spans="1:17" ht="18" customHeight="1" thickBot="1">
      <c r="A73" s="563"/>
      <c r="B73" s="549"/>
      <c r="C73" s="275" t="s">
        <v>124</v>
      </c>
      <c r="D73" s="371">
        <v>-1853</v>
      </c>
      <c r="E73" s="371">
        <v>-951</v>
      </c>
      <c r="F73" s="371">
        <v>-630</v>
      </c>
      <c r="G73" s="371">
        <v>-668</v>
      </c>
      <c r="H73" s="371">
        <v>-390</v>
      </c>
      <c r="I73" s="276">
        <v>-644</v>
      </c>
      <c r="J73" s="276">
        <v>-127</v>
      </c>
      <c r="K73" s="276">
        <v>-52</v>
      </c>
      <c r="L73" s="276">
        <v>-1264</v>
      </c>
      <c r="M73" s="276">
        <v>-1166</v>
      </c>
      <c r="N73" s="276">
        <f>N71-N72</f>
        <v>-1715</v>
      </c>
      <c r="O73" s="277">
        <f t="shared" si="1"/>
        <v>-9460</v>
      </c>
      <c r="Q73" s="264"/>
    </row>
    <row r="74" spans="1:17" ht="18" customHeight="1">
      <c r="A74" s="561">
        <v>24</v>
      </c>
      <c r="B74" s="547" t="s">
        <v>40</v>
      </c>
      <c r="C74" s="271" t="s">
        <v>122</v>
      </c>
      <c r="D74" s="369">
        <v>1372</v>
      </c>
      <c r="E74" s="369">
        <v>1559</v>
      </c>
      <c r="F74" s="369">
        <v>1379</v>
      </c>
      <c r="G74" s="369">
        <v>10079</v>
      </c>
      <c r="H74" s="369">
        <v>1631</v>
      </c>
      <c r="I74" s="272">
        <v>2484</v>
      </c>
      <c r="J74" s="272">
        <v>0</v>
      </c>
      <c r="K74" s="272">
        <v>1476</v>
      </c>
      <c r="L74" s="272">
        <v>2478</v>
      </c>
      <c r="M74" s="272">
        <v>4604</v>
      </c>
      <c r="N74" s="272">
        <f>'Feb 13(2)'!AE30</f>
        <v>0</v>
      </c>
      <c r="O74" s="273">
        <f t="shared" si="1"/>
        <v>27062</v>
      </c>
      <c r="Q74" s="264"/>
    </row>
    <row r="75" spans="1:17" ht="18" customHeight="1">
      <c r="A75" s="562"/>
      <c r="B75" s="548"/>
      <c r="C75" s="257" t="s">
        <v>123</v>
      </c>
      <c r="D75" s="370">
        <v>31585</v>
      </c>
      <c r="E75" s="370">
        <v>27477</v>
      </c>
      <c r="F75" s="370">
        <v>3074</v>
      </c>
      <c r="G75" s="370">
        <v>11184</v>
      </c>
      <c r="H75" s="370">
        <v>5940</v>
      </c>
      <c r="I75" s="261">
        <v>5811</v>
      </c>
      <c r="J75" s="261">
        <v>10696</v>
      </c>
      <c r="K75" s="261">
        <v>5811</v>
      </c>
      <c r="L75" s="261">
        <v>5811</v>
      </c>
      <c r="M75" s="261">
        <v>5811</v>
      </c>
      <c r="N75" s="261">
        <f>'Feb 13(2)'!S30</f>
        <v>41523</v>
      </c>
      <c r="O75" s="274">
        <f t="shared" si="1"/>
        <v>154723</v>
      </c>
      <c r="Q75" s="264"/>
    </row>
    <row r="76" spans="1:17" ht="18" customHeight="1" thickBot="1">
      <c r="A76" s="563"/>
      <c r="B76" s="549"/>
      <c r="C76" s="275" t="s">
        <v>124</v>
      </c>
      <c r="D76" s="371">
        <v>-30213</v>
      </c>
      <c r="E76" s="371">
        <v>-25918</v>
      </c>
      <c r="F76" s="371">
        <v>-1695</v>
      </c>
      <c r="G76" s="371">
        <v>-1105</v>
      </c>
      <c r="H76" s="371">
        <v>-4309</v>
      </c>
      <c r="I76" s="276">
        <v>-3327</v>
      </c>
      <c r="J76" s="276">
        <v>-10696</v>
      </c>
      <c r="K76" s="276">
        <v>-4335</v>
      </c>
      <c r="L76" s="276">
        <v>-3333</v>
      </c>
      <c r="M76" s="276">
        <v>-1207</v>
      </c>
      <c r="N76" s="276">
        <f>N74-N75</f>
        <v>-41523</v>
      </c>
      <c r="O76" s="277">
        <f t="shared" si="1"/>
        <v>-127661</v>
      </c>
      <c r="Q76" s="264"/>
    </row>
    <row r="77" spans="1:17" ht="18" customHeight="1">
      <c r="A77" s="561">
        <v>25</v>
      </c>
      <c r="B77" s="547" t="s">
        <v>9</v>
      </c>
      <c r="C77" s="271" t="s">
        <v>122</v>
      </c>
      <c r="D77" s="369">
        <v>1928</v>
      </c>
      <c r="E77" s="369">
        <v>4760</v>
      </c>
      <c r="F77" s="369">
        <v>2418</v>
      </c>
      <c r="G77" s="369">
        <v>1925</v>
      </c>
      <c r="H77" s="369">
        <v>1815</v>
      </c>
      <c r="I77" s="272">
        <v>1513</v>
      </c>
      <c r="J77" s="272">
        <v>1486</v>
      </c>
      <c r="K77" s="272">
        <v>1761</v>
      </c>
      <c r="L77" s="272">
        <v>2057</v>
      </c>
      <c r="M77" s="272">
        <v>3171</v>
      </c>
      <c r="N77" s="272">
        <f>'Feb 13(2)'!AE31</f>
        <v>1423</v>
      </c>
      <c r="O77" s="273">
        <f t="shared" si="1"/>
        <v>24257</v>
      </c>
      <c r="Q77" s="264"/>
    </row>
    <row r="78" spans="1:17" ht="18" customHeight="1">
      <c r="A78" s="562"/>
      <c r="B78" s="548"/>
      <c r="C78" s="257" t="s">
        <v>123</v>
      </c>
      <c r="D78" s="370">
        <v>12813</v>
      </c>
      <c r="E78" s="370">
        <v>1649</v>
      </c>
      <c r="F78" s="370">
        <v>14270</v>
      </c>
      <c r="G78" s="370">
        <v>6912</v>
      </c>
      <c r="H78" s="370">
        <v>4363</v>
      </c>
      <c r="I78" s="261">
        <v>2928</v>
      </c>
      <c r="J78" s="261">
        <v>4174</v>
      </c>
      <c r="K78" s="261">
        <v>3716</v>
      </c>
      <c r="L78" s="261">
        <v>5377</v>
      </c>
      <c r="M78" s="261">
        <v>6587</v>
      </c>
      <c r="N78" s="261">
        <f>'Feb 13(2)'!S31</f>
        <v>2672</v>
      </c>
      <c r="O78" s="274">
        <f t="shared" si="1"/>
        <v>65461</v>
      </c>
      <c r="Q78" s="264"/>
    </row>
    <row r="79" spans="1:17" ht="18" customHeight="1" thickBot="1">
      <c r="A79" s="563"/>
      <c r="B79" s="549"/>
      <c r="C79" s="275" t="s">
        <v>124</v>
      </c>
      <c r="D79" s="371">
        <v>-10885</v>
      </c>
      <c r="E79" s="371">
        <v>3111</v>
      </c>
      <c r="F79" s="371">
        <v>-11852</v>
      </c>
      <c r="G79" s="371">
        <v>-4987</v>
      </c>
      <c r="H79" s="371">
        <v>-2548</v>
      </c>
      <c r="I79" s="276">
        <v>-1415</v>
      </c>
      <c r="J79" s="276">
        <v>-2688</v>
      </c>
      <c r="K79" s="276">
        <v>-1955</v>
      </c>
      <c r="L79" s="276">
        <v>-3320</v>
      </c>
      <c r="M79" s="276">
        <v>-3416</v>
      </c>
      <c r="N79" s="276">
        <f>N77-N78</f>
        <v>-1249</v>
      </c>
      <c r="O79" s="277">
        <f t="shared" si="1"/>
        <v>-41204</v>
      </c>
      <c r="Q79" s="264"/>
    </row>
    <row r="80" spans="1:17" ht="18" customHeight="1">
      <c r="A80" s="561">
        <v>26</v>
      </c>
      <c r="B80" s="547" t="s">
        <v>10</v>
      </c>
      <c r="C80" s="271" t="s">
        <v>122</v>
      </c>
      <c r="D80" s="369">
        <v>4237</v>
      </c>
      <c r="E80" s="369">
        <v>4097</v>
      </c>
      <c r="F80" s="369">
        <v>18263</v>
      </c>
      <c r="G80" s="369">
        <v>6365</v>
      </c>
      <c r="H80" s="369">
        <v>5384</v>
      </c>
      <c r="I80" s="272">
        <v>5688</v>
      </c>
      <c r="J80" s="272">
        <v>4517</v>
      </c>
      <c r="K80" s="272">
        <v>4723</v>
      </c>
      <c r="L80" s="272">
        <v>5830</v>
      </c>
      <c r="M80" s="272">
        <v>5078</v>
      </c>
      <c r="N80" s="272">
        <f>'Feb 13(2)'!AE32</f>
        <v>5389</v>
      </c>
      <c r="O80" s="273">
        <f t="shared" si="1"/>
        <v>69571</v>
      </c>
      <c r="Q80" s="264"/>
    </row>
    <row r="81" spans="1:17" ht="18" customHeight="1">
      <c r="A81" s="562"/>
      <c r="B81" s="548"/>
      <c r="C81" s="257" t="s">
        <v>123</v>
      </c>
      <c r="D81" s="370">
        <v>5171</v>
      </c>
      <c r="E81" s="370">
        <v>8679</v>
      </c>
      <c r="F81" s="370">
        <v>14035</v>
      </c>
      <c r="G81" s="370">
        <v>4400</v>
      </c>
      <c r="H81" s="370">
        <v>4922</v>
      </c>
      <c r="I81" s="261">
        <v>7141</v>
      </c>
      <c r="J81" s="261">
        <v>8238</v>
      </c>
      <c r="K81" s="261">
        <v>8651</v>
      </c>
      <c r="L81" s="261">
        <v>6756</v>
      </c>
      <c r="M81" s="261">
        <v>6227</v>
      </c>
      <c r="N81" s="261">
        <f>'Feb 13(2)'!S32</f>
        <v>6858</v>
      </c>
      <c r="O81" s="274">
        <f t="shared" si="1"/>
        <v>81078</v>
      </c>
      <c r="Q81" s="264"/>
    </row>
    <row r="82" spans="1:17" ht="18" customHeight="1" thickBot="1">
      <c r="A82" s="563"/>
      <c r="B82" s="549"/>
      <c r="C82" s="275" t="s">
        <v>124</v>
      </c>
      <c r="D82" s="371">
        <v>-934</v>
      </c>
      <c r="E82" s="371">
        <v>-4582</v>
      </c>
      <c r="F82" s="371">
        <v>4228</v>
      </c>
      <c r="G82" s="371">
        <v>1965</v>
      </c>
      <c r="H82" s="371">
        <v>462</v>
      </c>
      <c r="I82" s="276">
        <v>-1453</v>
      </c>
      <c r="J82" s="276">
        <v>-3721</v>
      </c>
      <c r="K82" s="276">
        <v>-3928</v>
      </c>
      <c r="L82" s="276">
        <v>-926</v>
      </c>
      <c r="M82" s="276">
        <v>-1149</v>
      </c>
      <c r="N82" s="276">
        <f>N80-N81</f>
        <v>-1469</v>
      </c>
      <c r="O82" s="277">
        <f t="shared" si="1"/>
        <v>-11507</v>
      </c>
      <c r="Q82" s="264"/>
    </row>
    <row r="83" spans="1:15" s="265" customFormat="1" ht="15">
      <c r="A83" s="566"/>
      <c r="B83" s="550" t="s">
        <v>11</v>
      </c>
      <c r="C83" s="271" t="s">
        <v>122</v>
      </c>
      <c r="D83" s="272">
        <v>82596</v>
      </c>
      <c r="E83" s="272">
        <v>138064</v>
      </c>
      <c r="F83" s="272">
        <v>121151</v>
      </c>
      <c r="G83" s="272">
        <v>120341</v>
      </c>
      <c r="H83" s="272">
        <v>108660</v>
      </c>
      <c r="I83" s="272">
        <v>108069</v>
      </c>
      <c r="J83" s="272">
        <v>107634</v>
      </c>
      <c r="K83" s="272">
        <v>138544</v>
      </c>
      <c r="L83" s="272">
        <v>118868</v>
      </c>
      <c r="M83" s="272">
        <v>118223</v>
      </c>
      <c r="N83" s="272">
        <f>N5+N8+N11+N14+N17+N20+N23+N26+N29+N32+N35+N38+N41+N44+N47+N50+N53+N56+N59+N62+N65+N68+N71+N74+N77+N80</f>
        <v>106142</v>
      </c>
      <c r="O83" s="273">
        <f t="shared" si="1"/>
        <v>1268292</v>
      </c>
    </row>
    <row r="84" spans="1:15" s="265" customFormat="1" ht="18" customHeight="1">
      <c r="A84" s="567"/>
      <c r="B84" s="551"/>
      <c r="C84" s="257" t="s">
        <v>123</v>
      </c>
      <c r="D84" s="445">
        <v>366658</v>
      </c>
      <c r="E84" s="258">
        <v>502070</v>
      </c>
      <c r="F84" s="258">
        <v>230593</v>
      </c>
      <c r="G84" s="258">
        <v>215198</v>
      </c>
      <c r="H84" s="258">
        <v>233031</v>
      </c>
      <c r="I84" s="258">
        <v>236014</v>
      </c>
      <c r="J84" s="258">
        <v>254548</v>
      </c>
      <c r="K84" s="258">
        <v>219248</v>
      </c>
      <c r="L84" s="258">
        <v>213195</v>
      </c>
      <c r="M84" s="258">
        <v>399720</v>
      </c>
      <c r="N84" s="258">
        <f>N6+N9+N12+N15+N18+N21+N24+N27+N30+N33+N36+N39+N42+N45+N48+N51+N54+N57+N60+N63+N66+N69+N72+N75+N78+N81</f>
        <v>274645</v>
      </c>
      <c r="O84" s="274">
        <f t="shared" si="1"/>
        <v>3144920</v>
      </c>
    </row>
    <row r="85" spans="1:15" s="265" customFormat="1" ht="18" customHeight="1" thickBot="1">
      <c r="A85" s="568"/>
      <c r="B85" s="552"/>
      <c r="C85" s="275" t="s">
        <v>124</v>
      </c>
      <c r="D85" s="447">
        <v>-284062</v>
      </c>
      <c r="E85" s="276">
        <v>-364006</v>
      </c>
      <c r="F85" s="276">
        <v>-109442</v>
      </c>
      <c r="G85" s="276">
        <v>-94857</v>
      </c>
      <c r="H85" s="276">
        <v>-124371</v>
      </c>
      <c r="I85" s="276">
        <v>-127945</v>
      </c>
      <c r="J85" s="276">
        <v>-146914</v>
      </c>
      <c r="K85" s="276">
        <v>-80704</v>
      </c>
      <c r="L85" s="276">
        <v>-94327</v>
      </c>
      <c r="M85" s="428">
        <v>-281497</v>
      </c>
      <c r="N85" s="428">
        <f>N83-N84</f>
        <v>-168503</v>
      </c>
      <c r="O85" s="277">
        <f t="shared" si="1"/>
        <v>-1876628</v>
      </c>
    </row>
    <row r="86" spans="1:22" ht="15">
      <c r="A86" s="541" t="s">
        <v>149</v>
      </c>
      <c r="B86" s="542"/>
      <c r="C86" s="278" t="s">
        <v>122</v>
      </c>
      <c r="D86" s="404">
        <v>0.082596</v>
      </c>
      <c r="E86" s="404">
        <v>0.138064</v>
      </c>
      <c r="F86" s="404">
        <v>0.121151</v>
      </c>
      <c r="G86" s="404">
        <v>0.120341</v>
      </c>
      <c r="H86" s="404">
        <v>0.10866</v>
      </c>
      <c r="I86" s="404">
        <v>0.108069</v>
      </c>
      <c r="J86" s="404">
        <v>0.107634</v>
      </c>
      <c r="K86" s="404">
        <v>0.138544</v>
      </c>
      <c r="L86" s="404">
        <v>0.118868</v>
      </c>
      <c r="M86" s="404">
        <v>0.118223</v>
      </c>
      <c r="N86" s="404">
        <f aca="true" t="shared" si="2" ref="N86:O88">N83/1000000</f>
        <v>0.106142</v>
      </c>
      <c r="O86" s="405">
        <f t="shared" si="2"/>
        <v>1.268292</v>
      </c>
      <c r="S86" s="351"/>
      <c r="T86" s="351"/>
      <c r="U86" s="351"/>
      <c r="V86" s="351"/>
    </row>
    <row r="87" spans="1:22" ht="15">
      <c r="A87" s="543"/>
      <c r="B87" s="544"/>
      <c r="C87" s="259" t="s">
        <v>123</v>
      </c>
      <c r="D87" s="406">
        <v>0.366658</v>
      </c>
      <c r="E87" s="406">
        <v>0.50207</v>
      </c>
      <c r="F87" s="406">
        <v>0.230593</v>
      </c>
      <c r="G87" s="406">
        <v>0.215198</v>
      </c>
      <c r="H87" s="406">
        <v>0.233031</v>
      </c>
      <c r="I87" s="406">
        <v>0.236014</v>
      </c>
      <c r="J87" s="406">
        <v>0.254548</v>
      </c>
      <c r="K87" s="406">
        <v>0.219248</v>
      </c>
      <c r="L87" s="406">
        <v>0.213195</v>
      </c>
      <c r="M87" s="406">
        <v>0.39972</v>
      </c>
      <c r="N87" s="406">
        <f t="shared" si="2"/>
        <v>0.274645</v>
      </c>
      <c r="O87" s="407">
        <f t="shared" si="2"/>
        <v>3.14492</v>
      </c>
      <c r="S87" s="351"/>
      <c r="T87" s="351"/>
      <c r="U87" s="351"/>
      <c r="V87" s="351"/>
    </row>
    <row r="88" spans="1:17" ht="15.75" thickBot="1">
      <c r="A88" s="545"/>
      <c r="B88" s="546"/>
      <c r="C88" s="279" t="s">
        <v>124</v>
      </c>
      <c r="D88" s="408">
        <v>-0.284062</v>
      </c>
      <c r="E88" s="408">
        <v>-0.364006</v>
      </c>
      <c r="F88" s="408">
        <v>-0.109442</v>
      </c>
      <c r="G88" s="408">
        <v>-0.094857</v>
      </c>
      <c r="H88" s="408">
        <v>-0.124371</v>
      </c>
      <c r="I88" s="408">
        <v>-0.127945</v>
      </c>
      <c r="J88" s="408">
        <v>-0.146914</v>
      </c>
      <c r="K88" s="408">
        <v>-0.080704</v>
      </c>
      <c r="L88" s="408">
        <v>-0.094327</v>
      </c>
      <c r="M88" s="408">
        <v>-0.281497</v>
      </c>
      <c r="N88" s="408">
        <f t="shared" si="2"/>
        <v>-0.16850300000000001</v>
      </c>
      <c r="O88" s="409">
        <f t="shared" si="2"/>
        <v>-1.876628</v>
      </c>
      <c r="Q88" s="353"/>
    </row>
    <row r="89" spans="1:15" ht="15">
      <c r="A89" s="134"/>
      <c r="N89" s="134"/>
      <c r="O89" s="134"/>
    </row>
    <row r="90" ht="15" customHeight="1"/>
    <row r="91" ht="15" customHeight="1"/>
    <row r="92" spans="14:15" ht="15" customHeight="1">
      <c r="N92" s="146"/>
      <c r="O92" s="263"/>
    </row>
    <row r="93" spans="14:22" ht="15" customHeight="1">
      <c r="N93" s="146"/>
      <c r="O93" s="263"/>
      <c r="S93" s="352"/>
      <c r="T93" s="352"/>
      <c r="U93" s="352"/>
      <c r="V93" s="352"/>
    </row>
    <row r="94" spans="2:22" ht="15" customHeight="1"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146"/>
      <c r="O94" s="263"/>
      <c r="S94" s="352"/>
      <c r="T94" s="352"/>
      <c r="U94" s="352"/>
      <c r="V94" s="352"/>
    </row>
    <row r="95" spans="2:22" ht="15"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S95" s="352"/>
      <c r="T95" s="352"/>
      <c r="U95" s="352"/>
      <c r="V95" s="352"/>
    </row>
    <row r="96" spans="2:22" ht="15"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S96" s="352"/>
      <c r="T96" s="352"/>
      <c r="U96" s="352"/>
      <c r="V96" s="352"/>
    </row>
    <row r="97" spans="2:15" ht="15"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  <c r="O97" s="263"/>
    </row>
    <row r="98" spans="2:15" ht="15"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  <c r="O98" s="263"/>
    </row>
    <row r="99" spans="2:22" ht="15"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  <c r="O99" s="263"/>
      <c r="S99" s="305"/>
      <c r="T99" s="305"/>
      <c r="U99" s="305"/>
      <c r="V99" s="305"/>
    </row>
    <row r="100" spans="2:22" ht="15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  <c r="O100" s="263"/>
      <c r="S100" s="305"/>
      <c r="T100" s="305"/>
      <c r="U100" s="305"/>
      <c r="V100" s="305"/>
    </row>
    <row r="101" spans="14:15" ht="15">
      <c r="N101" s="263"/>
      <c r="O101" s="263"/>
    </row>
    <row r="104" spans="3:24" ht="15">
      <c r="C104" s="537"/>
      <c r="P104" s="536"/>
      <c r="Q104" s="539" t="s">
        <v>152</v>
      </c>
      <c r="R104" s="539" t="s">
        <v>153</v>
      </c>
      <c r="S104" s="539" t="s">
        <v>150</v>
      </c>
      <c r="T104" s="539" t="s">
        <v>151</v>
      </c>
      <c r="U104" s="536" t="s">
        <v>154</v>
      </c>
      <c r="V104" s="536"/>
      <c r="W104" s="536" t="s">
        <v>156</v>
      </c>
      <c r="X104" s="536"/>
    </row>
    <row r="105" spans="3:24" ht="43.5" thickBot="1">
      <c r="C105" s="538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P105" s="536"/>
      <c r="Q105" s="539"/>
      <c r="R105" s="539"/>
      <c r="S105" s="539"/>
      <c r="T105" s="539"/>
      <c r="U105" s="307" t="s">
        <v>157</v>
      </c>
      <c r="V105" s="307" t="s">
        <v>155</v>
      </c>
      <c r="W105" s="307" t="s">
        <v>157</v>
      </c>
      <c r="X105" s="307" t="s">
        <v>155</v>
      </c>
    </row>
    <row r="106" spans="16:24" ht="30">
      <c r="P106" s="308" t="s">
        <v>158</v>
      </c>
      <c r="Q106" s="305">
        <f>Q113/1000000</f>
        <v>81.490665</v>
      </c>
      <c r="R106" s="305">
        <f aca="true" t="shared" si="3" ref="R106:X106">R113/1000000</f>
        <v>93.087795</v>
      </c>
      <c r="S106" s="305">
        <f t="shared" si="3"/>
        <v>15</v>
      </c>
      <c r="T106" s="305">
        <f t="shared" si="3"/>
        <v>96.490665</v>
      </c>
      <c r="U106" s="305">
        <f t="shared" si="3"/>
        <v>18.8</v>
      </c>
      <c r="V106" s="305">
        <f t="shared" si="3"/>
        <v>115.290665</v>
      </c>
      <c r="W106" s="305">
        <f t="shared" si="3"/>
        <v>21</v>
      </c>
      <c r="X106" s="305">
        <f t="shared" si="3"/>
        <v>136.290665</v>
      </c>
    </row>
    <row r="107" spans="16:24" ht="30">
      <c r="P107" s="308" t="s">
        <v>159</v>
      </c>
      <c r="Q107" s="305">
        <f>Q114/1000000</f>
        <v>3.557471</v>
      </c>
      <c r="R107" s="305">
        <f aca="true" t="shared" si="4" ref="R107:X107">R114/1000000</f>
        <v>4.880591</v>
      </c>
      <c r="S107" s="305">
        <f t="shared" si="4"/>
        <v>2.5</v>
      </c>
      <c r="T107" s="305">
        <f t="shared" si="4"/>
        <v>6.057471</v>
      </c>
      <c r="U107" s="305">
        <f t="shared" si="4"/>
        <v>7.5</v>
      </c>
      <c r="V107" s="305">
        <f t="shared" si="4"/>
        <v>13.557471</v>
      </c>
      <c r="W107" s="305">
        <f t="shared" si="4"/>
        <v>5</v>
      </c>
      <c r="X107" s="305">
        <f t="shared" si="4"/>
        <v>18.557471</v>
      </c>
    </row>
    <row r="112" ht="15.75" thickBot="1"/>
    <row r="113" spans="17:24" ht="15.75" thickBot="1">
      <c r="Q113" s="265">
        <v>81490665</v>
      </c>
      <c r="R113" s="306">
        <v>93087795</v>
      </c>
      <c r="S113" s="142">
        <v>15000000</v>
      </c>
      <c r="T113" s="142">
        <f>Q113+S113</f>
        <v>96490665</v>
      </c>
      <c r="U113" s="142">
        <v>18800000</v>
      </c>
      <c r="V113" s="142">
        <f>SUM(T113:U113)</f>
        <v>115290665</v>
      </c>
      <c r="W113" s="142">
        <v>21000000</v>
      </c>
      <c r="X113" s="142">
        <f>SUM(V113:W113)</f>
        <v>136290665</v>
      </c>
    </row>
    <row r="114" spans="17:24" ht="15">
      <c r="Q114" s="265">
        <v>3557471</v>
      </c>
      <c r="R114" s="306">
        <v>4880591</v>
      </c>
      <c r="S114" s="142">
        <v>2500000</v>
      </c>
      <c r="T114" s="142">
        <f>Q114+S114</f>
        <v>6057471</v>
      </c>
      <c r="U114" s="142">
        <v>7500000</v>
      </c>
      <c r="V114" s="142">
        <f>SUM(T114:U114)</f>
        <v>13557471</v>
      </c>
      <c r="W114" s="142">
        <v>5000000</v>
      </c>
      <c r="X114" s="142">
        <f>SUM(V114:W114)</f>
        <v>18557471</v>
      </c>
    </row>
    <row r="137" ht="15">
      <c r="I137" s="353"/>
    </row>
  </sheetData>
  <sheetProtection/>
  <mergeCells count="64">
    <mergeCell ref="A83:A85"/>
    <mergeCell ref="A59:A61"/>
    <mergeCell ref="A62:A64"/>
    <mergeCell ref="A65:A67"/>
    <mergeCell ref="A68:A70"/>
    <mergeCell ref="A71:A73"/>
    <mergeCell ref="A74:A76"/>
    <mergeCell ref="A53:A55"/>
    <mergeCell ref="A56:A58"/>
    <mergeCell ref="A77:A79"/>
    <mergeCell ref="A80:A82"/>
    <mergeCell ref="A41:A43"/>
    <mergeCell ref="A44:A46"/>
    <mergeCell ref="A47:A49"/>
    <mergeCell ref="A50:A52"/>
    <mergeCell ref="A29:A31"/>
    <mergeCell ref="A32:A34"/>
    <mergeCell ref="A35:A37"/>
    <mergeCell ref="A38:A40"/>
    <mergeCell ref="A17:A19"/>
    <mergeCell ref="A20:A22"/>
    <mergeCell ref="A23:A25"/>
    <mergeCell ref="A26:A28"/>
    <mergeCell ref="A5:A7"/>
    <mergeCell ref="A8:A10"/>
    <mergeCell ref="A11:A13"/>
    <mergeCell ref="A14:A16"/>
    <mergeCell ref="B35:B37"/>
    <mergeCell ref="B38:B40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74:B76"/>
    <mergeCell ref="B41:B43"/>
    <mergeCell ref="B44:B46"/>
    <mergeCell ref="B47:B49"/>
    <mergeCell ref="B50:B52"/>
    <mergeCell ref="B53:B55"/>
    <mergeCell ref="B56:B58"/>
    <mergeCell ref="N1:O1"/>
    <mergeCell ref="A86:B88"/>
    <mergeCell ref="B77:B79"/>
    <mergeCell ref="B80:B82"/>
    <mergeCell ref="B83:B85"/>
    <mergeCell ref="B59:B61"/>
    <mergeCell ref="B62:B64"/>
    <mergeCell ref="B65:B67"/>
    <mergeCell ref="B68:B70"/>
    <mergeCell ref="B71:B73"/>
    <mergeCell ref="U104:V104"/>
    <mergeCell ref="W104:X104"/>
    <mergeCell ref="C104:C105"/>
    <mergeCell ref="P104:P105"/>
    <mergeCell ref="S104:S105"/>
    <mergeCell ref="T104:T105"/>
    <mergeCell ref="R104:R105"/>
    <mergeCell ref="Q104:Q105"/>
  </mergeCells>
  <conditionalFormatting sqref="Y5:Y82">
    <cfRule type="top10" priority="3" dxfId="3" stopIfTrue="1" rank="5" bottom="1"/>
    <cfRule type="top10" priority="4" dxfId="0" stopIfTrue="1" rank="5"/>
  </conditionalFormatting>
  <conditionalFormatting sqref="V5:V82">
    <cfRule type="top10" priority="1" dxfId="1" stopIfTrue="1" rank="10"/>
    <cfRule type="top10" priority="2" dxfId="0" stopIfTrue="1" rank="5"/>
  </conditionalFormatting>
  <printOptions/>
  <pageMargins left="0.5118110236220472" right="0.11811023622047245" top="0.5905511811023623" bottom="0.1968503937007874" header="0.31496062992125984" footer="0.31496062992125984"/>
  <pageSetup horizontalDpi="600" verticalDpi="600" orientation="portrait" paperSize="9" scale="80" r:id="rId1"/>
  <rowBreaks count="1" manualBreakCount="1">
    <brk id="55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04"/>
  <sheetViews>
    <sheetView zoomScalePageLayoutView="0" workbookViewId="0" topLeftCell="A1">
      <selection activeCell="Q10" sqref="Q10"/>
    </sheetView>
  </sheetViews>
  <sheetFormatPr defaultColWidth="7.8515625" defaultRowHeight="12.75"/>
  <cols>
    <col min="1" max="1" width="3.421875" style="142" customWidth="1"/>
    <col min="2" max="2" width="3.421875" style="142" hidden="1" customWidth="1"/>
    <col min="3" max="3" width="5.57421875" style="142" hidden="1" customWidth="1"/>
    <col min="4" max="4" width="8.28125" style="142" customWidth="1"/>
    <col min="5" max="5" width="8.00390625" style="142" bestFit="1" customWidth="1"/>
    <col min="6" max="6" width="7.8515625" style="142" bestFit="1" customWidth="1"/>
    <col min="7" max="7" width="8.57421875" style="142" bestFit="1" customWidth="1"/>
    <col min="8" max="8" width="7.8515625" style="142" bestFit="1" customWidth="1"/>
    <col min="9" max="9" width="8.00390625" style="142" bestFit="1" customWidth="1"/>
    <col min="10" max="10" width="7.8515625" style="142" bestFit="1" customWidth="1"/>
    <col min="11" max="13" width="7.8515625" style="142" customWidth="1"/>
    <col min="14" max="14" width="8.8515625" style="142" customWidth="1"/>
    <col min="15" max="15" width="10.8515625" style="265" bestFit="1" customWidth="1"/>
    <col min="16" max="19" width="7.8515625" style="142" customWidth="1"/>
    <col min="20" max="16384" width="7.8515625" style="142" customWidth="1"/>
  </cols>
  <sheetData>
    <row r="1" spans="1:14" ht="18" customHeight="1">
      <c r="A1" s="262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126" t="s">
        <v>135</v>
      </c>
    </row>
    <row r="2" spans="1:16" ht="16.5" customHeight="1">
      <c r="A2" s="133" t="s">
        <v>191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  <c r="O2" s="134"/>
      <c r="P2" s="353"/>
    </row>
    <row r="3" spans="1:15" ht="9" customHeight="1" thickBo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30" customHeight="1" thickBot="1">
      <c r="A4" s="268" t="s">
        <v>18</v>
      </c>
      <c r="B4" s="269" t="s">
        <v>120</v>
      </c>
      <c r="C4" s="269" t="s">
        <v>121</v>
      </c>
      <c r="D4" s="311">
        <v>41000</v>
      </c>
      <c r="E4" s="311">
        <v>41030</v>
      </c>
      <c r="F4" s="311">
        <v>41061</v>
      </c>
      <c r="G4" s="311">
        <v>41091</v>
      </c>
      <c r="H4" s="311">
        <v>41122</v>
      </c>
      <c r="I4" s="311">
        <v>41153</v>
      </c>
      <c r="J4" s="311">
        <v>41183</v>
      </c>
      <c r="K4" s="311">
        <v>41214</v>
      </c>
      <c r="L4" s="311">
        <v>41244</v>
      </c>
      <c r="M4" s="311">
        <v>41275</v>
      </c>
      <c r="N4" s="311">
        <v>41306</v>
      </c>
      <c r="O4" s="270" t="s">
        <v>2</v>
      </c>
    </row>
    <row r="5" spans="1:15" ht="18" customHeight="1">
      <c r="A5" s="555">
        <v>1</v>
      </c>
      <c r="B5" s="547" t="s">
        <v>39</v>
      </c>
      <c r="C5" s="271" t="s">
        <v>122</v>
      </c>
      <c r="D5" s="369">
        <v>191</v>
      </c>
      <c r="E5" s="369">
        <v>404</v>
      </c>
      <c r="F5" s="369">
        <v>408</v>
      </c>
      <c r="G5" s="369">
        <v>314</v>
      </c>
      <c r="H5" s="369">
        <v>184</v>
      </c>
      <c r="I5" s="272">
        <v>137</v>
      </c>
      <c r="J5" s="272">
        <v>1765</v>
      </c>
      <c r="K5" s="272">
        <v>229</v>
      </c>
      <c r="L5" s="272">
        <v>236</v>
      </c>
      <c r="M5" s="272">
        <v>536</v>
      </c>
      <c r="N5" s="280">
        <f>'Feb 13(2)'!AF7</f>
        <v>224</v>
      </c>
      <c r="O5" s="273">
        <f>SUM(D5:N5)</f>
        <v>4628</v>
      </c>
    </row>
    <row r="6" spans="1:15" ht="18" customHeight="1">
      <c r="A6" s="556"/>
      <c r="B6" s="548"/>
      <c r="C6" s="257" t="s">
        <v>123</v>
      </c>
      <c r="D6" s="370">
        <v>74</v>
      </c>
      <c r="E6" s="370">
        <v>60</v>
      </c>
      <c r="F6" s="370">
        <v>93</v>
      </c>
      <c r="G6" s="370">
        <v>27</v>
      </c>
      <c r="H6" s="370">
        <v>24</v>
      </c>
      <c r="I6" s="261">
        <v>93</v>
      </c>
      <c r="J6" s="261">
        <v>1540</v>
      </c>
      <c r="K6" s="261">
        <v>5</v>
      </c>
      <c r="L6" s="261">
        <v>240</v>
      </c>
      <c r="M6" s="261">
        <v>1009</v>
      </c>
      <c r="N6" s="261">
        <f>'Feb 13(2)'!T7</f>
        <v>405</v>
      </c>
      <c r="O6" s="274">
        <f aca="true" t="shared" si="0" ref="O6:O69">SUM(D6:N6)</f>
        <v>3570</v>
      </c>
    </row>
    <row r="7" spans="1:15" ht="18" customHeight="1" thickBot="1">
      <c r="A7" s="557"/>
      <c r="B7" s="549"/>
      <c r="C7" s="275" t="s">
        <v>124</v>
      </c>
      <c r="D7" s="371">
        <v>117</v>
      </c>
      <c r="E7" s="371">
        <v>344</v>
      </c>
      <c r="F7" s="371">
        <v>315</v>
      </c>
      <c r="G7" s="371">
        <v>287</v>
      </c>
      <c r="H7" s="371">
        <v>160</v>
      </c>
      <c r="I7" s="276">
        <v>44</v>
      </c>
      <c r="J7" s="276">
        <v>225</v>
      </c>
      <c r="K7" s="276">
        <v>224</v>
      </c>
      <c r="L7" s="276">
        <v>-4</v>
      </c>
      <c r="M7" s="276">
        <v>-473</v>
      </c>
      <c r="N7" s="276">
        <f>N5-N6</f>
        <v>-181</v>
      </c>
      <c r="O7" s="277">
        <f t="shared" si="0"/>
        <v>1058</v>
      </c>
    </row>
    <row r="8" spans="1:15" ht="18" customHeight="1">
      <c r="A8" s="558">
        <v>2</v>
      </c>
      <c r="B8" s="547" t="s">
        <v>65</v>
      </c>
      <c r="C8" s="271" t="s">
        <v>122</v>
      </c>
      <c r="D8" s="369">
        <v>1122</v>
      </c>
      <c r="E8" s="369">
        <v>1597</v>
      </c>
      <c r="F8" s="369">
        <v>1471</v>
      </c>
      <c r="G8" s="369">
        <v>1605</v>
      </c>
      <c r="H8" s="369">
        <v>1063</v>
      </c>
      <c r="I8" s="272">
        <v>10133</v>
      </c>
      <c r="J8" s="272">
        <v>1277</v>
      </c>
      <c r="K8" s="272">
        <v>1833</v>
      </c>
      <c r="L8" s="272">
        <v>2145</v>
      </c>
      <c r="M8" s="272">
        <v>3325</v>
      </c>
      <c r="N8" s="280">
        <f>'Feb 13(2)'!AF8</f>
        <v>1740</v>
      </c>
      <c r="O8" s="273">
        <f t="shared" si="0"/>
        <v>27311</v>
      </c>
    </row>
    <row r="9" spans="1:15" ht="18" customHeight="1">
      <c r="A9" s="559"/>
      <c r="B9" s="548"/>
      <c r="C9" s="257" t="s">
        <v>123</v>
      </c>
      <c r="D9" s="370">
        <v>3058</v>
      </c>
      <c r="E9" s="370">
        <v>7409</v>
      </c>
      <c r="F9" s="370">
        <v>28458</v>
      </c>
      <c r="G9" s="370">
        <v>7731</v>
      </c>
      <c r="H9" s="370">
        <v>53064</v>
      </c>
      <c r="I9" s="261">
        <v>18633</v>
      </c>
      <c r="J9" s="261">
        <v>5576</v>
      </c>
      <c r="K9" s="261">
        <v>5240</v>
      </c>
      <c r="L9" s="261">
        <v>1036</v>
      </c>
      <c r="M9" s="261">
        <v>747</v>
      </c>
      <c r="N9" s="261">
        <f>'Feb 13(2)'!T8</f>
        <v>22539</v>
      </c>
      <c r="O9" s="384">
        <f t="shared" si="0"/>
        <v>153491</v>
      </c>
    </row>
    <row r="10" spans="1:15" ht="18" customHeight="1" thickBot="1">
      <c r="A10" s="560"/>
      <c r="B10" s="549"/>
      <c r="C10" s="275" t="s">
        <v>124</v>
      </c>
      <c r="D10" s="371">
        <v>-1936</v>
      </c>
      <c r="E10" s="371">
        <v>-5812</v>
      </c>
      <c r="F10" s="371">
        <v>-26987</v>
      </c>
      <c r="G10" s="371">
        <v>-6126</v>
      </c>
      <c r="H10" s="371">
        <v>-52001</v>
      </c>
      <c r="I10" s="276">
        <v>-8500</v>
      </c>
      <c r="J10" s="276">
        <v>-4299</v>
      </c>
      <c r="K10" s="276">
        <v>-3407</v>
      </c>
      <c r="L10" s="276">
        <v>1109</v>
      </c>
      <c r="M10" s="276">
        <v>2578</v>
      </c>
      <c r="N10" s="276">
        <f>N8-N9</f>
        <v>-20799</v>
      </c>
      <c r="O10" s="277">
        <f t="shared" si="0"/>
        <v>-126180</v>
      </c>
    </row>
    <row r="11" spans="1:15" ht="18" customHeight="1">
      <c r="A11" s="558">
        <v>3</v>
      </c>
      <c r="B11" s="547" t="s">
        <v>3</v>
      </c>
      <c r="C11" s="271" t="s">
        <v>122</v>
      </c>
      <c r="D11" s="369">
        <v>278</v>
      </c>
      <c r="E11" s="369">
        <v>239</v>
      </c>
      <c r="F11" s="369">
        <v>244</v>
      </c>
      <c r="G11" s="369">
        <v>364</v>
      </c>
      <c r="H11" s="369">
        <v>798</v>
      </c>
      <c r="I11" s="272">
        <v>242</v>
      </c>
      <c r="J11" s="272">
        <v>201</v>
      </c>
      <c r="K11" s="272">
        <v>849</v>
      </c>
      <c r="L11" s="272">
        <v>840</v>
      </c>
      <c r="M11" s="272">
        <v>698</v>
      </c>
      <c r="N11" s="280">
        <f>'Feb 13(2)'!AF9</f>
        <v>1288</v>
      </c>
      <c r="O11" s="273">
        <f t="shared" si="0"/>
        <v>6041</v>
      </c>
    </row>
    <row r="12" spans="1:15" ht="18" customHeight="1">
      <c r="A12" s="559"/>
      <c r="B12" s="548"/>
      <c r="C12" s="257" t="s">
        <v>123</v>
      </c>
      <c r="D12" s="370">
        <v>206</v>
      </c>
      <c r="E12" s="370">
        <v>176</v>
      </c>
      <c r="F12" s="370">
        <v>1970</v>
      </c>
      <c r="G12" s="370">
        <v>8367</v>
      </c>
      <c r="H12" s="370">
        <v>1839</v>
      </c>
      <c r="I12" s="261">
        <v>136</v>
      </c>
      <c r="J12" s="261">
        <v>2458</v>
      </c>
      <c r="K12" s="261">
        <v>1005</v>
      </c>
      <c r="L12" s="261">
        <v>172</v>
      </c>
      <c r="M12" s="261">
        <v>2292</v>
      </c>
      <c r="N12" s="261">
        <f>'Feb 13(2)'!T9</f>
        <v>149</v>
      </c>
      <c r="O12" s="274">
        <f t="shared" si="0"/>
        <v>18770</v>
      </c>
    </row>
    <row r="13" spans="1:15" ht="18" customHeight="1" thickBot="1">
      <c r="A13" s="560"/>
      <c r="B13" s="549"/>
      <c r="C13" s="275" t="s">
        <v>124</v>
      </c>
      <c r="D13" s="371">
        <v>72</v>
      </c>
      <c r="E13" s="371">
        <v>63</v>
      </c>
      <c r="F13" s="371">
        <v>-1726</v>
      </c>
      <c r="G13" s="371">
        <v>-8003</v>
      </c>
      <c r="H13" s="371">
        <v>-1041</v>
      </c>
      <c r="I13" s="276">
        <v>106</v>
      </c>
      <c r="J13" s="276">
        <v>-2257</v>
      </c>
      <c r="K13" s="276">
        <v>-156</v>
      </c>
      <c r="L13" s="276">
        <v>668</v>
      </c>
      <c r="M13" s="276">
        <v>-1594</v>
      </c>
      <c r="N13" s="276">
        <f>N11-N12</f>
        <v>1139</v>
      </c>
      <c r="O13" s="277">
        <f t="shared" si="0"/>
        <v>-12729</v>
      </c>
    </row>
    <row r="14" spans="1:15" ht="18" customHeight="1">
      <c r="A14" s="558">
        <v>4</v>
      </c>
      <c r="B14" s="547" t="s">
        <v>31</v>
      </c>
      <c r="C14" s="271" t="s">
        <v>122</v>
      </c>
      <c r="D14" s="369">
        <v>0</v>
      </c>
      <c r="E14" s="369">
        <v>2467</v>
      </c>
      <c r="F14" s="369">
        <v>335</v>
      </c>
      <c r="G14" s="369">
        <v>2467</v>
      </c>
      <c r="H14" s="369">
        <v>2467</v>
      </c>
      <c r="I14" s="272">
        <v>2400</v>
      </c>
      <c r="J14" s="272">
        <v>2467</v>
      </c>
      <c r="K14" s="272">
        <v>2467</v>
      </c>
      <c r="L14" s="272">
        <v>2467</v>
      </c>
      <c r="M14" s="272">
        <v>2467</v>
      </c>
      <c r="N14" s="280">
        <f>'Feb 13(2)'!AF10</f>
        <v>1999</v>
      </c>
      <c r="O14" s="273">
        <f t="shared" si="0"/>
        <v>22003</v>
      </c>
    </row>
    <row r="15" spans="1:15" ht="18" customHeight="1">
      <c r="A15" s="559"/>
      <c r="B15" s="548"/>
      <c r="C15" s="257" t="s">
        <v>123</v>
      </c>
      <c r="D15" s="370">
        <v>151815</v>
      </c>
      <c r="E15" s="370">
        <v>2408</v>
      </c>
      <c r="F15" s="370">
        <v>0</v>
      </c>
      <c r="G15" s="370">
        <v>2627</v>
      </c>
      <c r="H15" s="370">
        <v>2132</v>
      </c>
      <c r="I15" s="261">
        <v>2378</v>
      </c>
      <c r="J15" s="261">
        <v>2369</v>
      </c>
      <c r="K15" s="261">
        <v>2380</v>
      </c>
      <c r="L15" s="261">
        <v>6467</v>
      </c>
      <c r="M15" s="261">
        <v>5375</v>
      </c>
      <c r="N15" s="261">
        <f>'Feb 13(2)'!T10</f>
        <v>12144</v>
      </c>
      <c r="O15" s="274">
        <f t="shared" si="0"/>
        <v>190095</v>
      </c>
    </row>
    <row r="16" spans="1:15" ht="18" customHeight="1" thickBot="1">
      <c r="A16" s="560"/>
      <c r="B16" s="549"/>
      <c r="C16" s="275" t="s">
        <v>124</v>
      </c>
      <c r="D16" s="371">
        <v>-151815</v>
      </c>
      <c r="E16" s="371">
        <v>59</v>
      </c>
      <c r="F16" s="371">
        <v>335</v>
      </c>
      <c r="G16" s="371">
        <v>-160</v>
      </c>
      <c r="H16" s="371">
        <v>335</v>
      </c>
      <c r="I16" s="276">
        <v>22</v>
      </c>
      <c r="J16" s="276">
        <v>98</v>
      </c>
      <c r="K16" s="276">
        <v>87</v>
      </c>
      <c r="L16" s="276">
        <v>-4000</v>
      </c>
      <c r="M16" s="276">
        <v>-2908</v>
      </c>
      <c r="N16" s="276">
        <f>N14-N15</f>
        <v>-10145</v>
      </c>
      <c r="O16" s="277">
        <f t="shared" si="0"/>
        <v>-168092</v>
      </c>
    </row>
    <row r="17" spans="1:15" ht="18" customHeight="1">
      <c r="A17" s="558">
        <v>5</v>
      </c>
      <c r="B17" s="547" t="s">
        <v>5</v>
      </c>
      <c r="C17" s="271" t="s">
        <v>122</v>
      </c>
      <c r="D17" s="369">
        <v>449</v>
      </c>
      <c r="E17" s="369">
        <v>1577</v>
      </c>
      <c r="F17" s="369">
        <v>733</v>
      </c>
      <c r="G17" s="369">
        <v>574</v>
      </c>
      <c r="H17" s="369">
        <v>201</v>
      </c>
      <c r="I17" s="272">
        <v>536</v>
      </c>
      <c r="J17" s="272">
        <v>397</v>
      </c>
      <c r="K17" s="272">
        <v>403</v>
      </c>
      <c r="L17" s="272">
        <v>540</v>
      </c>
      <c r="M17" s="272">
        <v>331</v>
      </c>
      <c r="N17" s="280">
        <f>'Feb 13(2)'!AF11</f>
        <v>338</v>
      </c>
      <c r="O17" s="273">
        <f t="shared" si="0"/>
        <v>6079</v>
      </c>
    </row>
    <row r="18" spans="1:15" ht="18" customHeight="1">
      <c r="A18" s="559"/>
      <c r="B18" s="548"/>
      <c r="C18" s="257" t="s">
        <v>123</v>
      </c>
      <c r="D18" s="370">
        <v>2599</v>
      </c>
      <c r="E18" s="370">
        <v>3432</v>
      </c>
      <c r="F18" s="370">
        <v>1182</v>
      </c>
      <c r="G18" s="370">
        <v>1215</v>
      </c>
      <c r="H18" s="370">
        <v>1708</v>
      </c>
      <c r="I18" s="261">
        <v>1797</v>
      </c>
      <c r="J18" s="261">
        <v>1538</v>
      </c>
      <c r="K18" s="261">
        <v>1462</v>
      </c>
      <c r="L18" s="261">
        <v>911</v>
      </c>
      <c r="M18" s="261">
        <v>152</v>
      </c>
      <c r="N18" s="261">
        <f>'Feb 13(2)'!T11</f>
        <v>269</v>
      </c>
      <c r="O18" s="274">
        <f t="shared" si="0"/>
        <v>16265</v>
      </c>
    </row>
    <row r="19" spans="1:15" ht="18" customHeight="1" thickBot="1">
      <c r="A19" s="560"/>
      <c r="B19" s="549"/>
      <c r="C19" s="275" t="s">
        <v>124</v>
      </c>
      <c r="D19" s="371">
        <v>-2150</v>
      </c>
      <c r="E19" s="371">
        <v>-1855</v>
      </c>
      <c r="F19" s="371">
        <v>-449</v>
      </c>
      <c r="G19" s="371">
        <v>-641</v>
      </c>
      <c r="H19" s="371">
        <v>-1507</v>
      </c>
      <c r="I19" s="276">
        <v>-1261</v>
      </c>
      <c r="J19" s="276">
        <v>-1141</v>
      </c>
      <c r="K19" s="276">
        <v>-1059</v>
      </c>
      <c r="L19" s="276">
        <v>-371</v>
      </c>
      <c r="M19" s="276">
        <v>179</v>
      </c>
      <c r="N19" s="276">
        <f>N17-N18</f>
        <v>69</v>
      </c>
      <c r="O19" s="277">
        <f t="shared" si="0"/>
        <v>-10186</v>
      </c>
    </row>
    <row r="20" spans="1:15" ht="18" customHeight="1">
      <c r="A20" s="558">
        <v>6</v>
      </c>
      <c r="B20" s="547" t="s">
        <v>32</v>
      </c>
      <c r="C20" s="271" t="s">
        <v>122</v>
      </c>
      <c r="D20" s="369">
        <v>3148</v>
      </c>
      <c r="E20" s="369">
        <v>1650</v>
      </c>
      <c r="F20" s="369">
        <v>1958</v>
      </c>
      <c r="G20" s="369">
        <v>3067</v>
      </c>
      <c r="H20" s="369">
        <v>1635</v>
      </c>
      <c r="I20" s="272">
        <v>2318</v>
      </c>
      <c r="J20" s="272">
        <v>2117</v>
      </c>
      <c r="K20" s="272">
        <v>2210</v>
      </c>
      <c r="L20" s="272">
        <v>1902</v>
      </c>
      <c r="M20" s="272">
        <v>1668</v>
      </c>
      <c r="N20" s="280">
        <f>'Feb 13(2)'!AF12</f>
        <v>1793</v>
      </c>
      <c r="O20" s="273">
        <f t="shared" si="0"/>
        <v>23466</v>
      </c>
    </row>
    <row r="21" spans="1:15" ht="18" customHeight="1">
      <c r="A21" s="559"/>
      <c r="B21" s="548"/>
      <c r="C21" s="257" t="s">
        <v>123</v>
      </c>
      <c r="D21" s="370">
        <v>6850</v>
      </c>
      <c r="E21" s="370">
        <v>23834</v>
      </c>
      <c r="F21" s="370">
        <v>3176</v>
      </c>
      <c r="G21" s="370">
        <v>56653</v>
      </c>
      <c r="H21" s="370">
        <v>5081</v>
      </c>
      <c r="I21" s="261">
        <v>6809</v>
      </c>
      <c r="J21" s="261">
        <v>10312</v>
      </c>
      <c r="K21" s="261">
        <v>3970</v>
      </c>
      <c r="L21" s="261">
        <v>3815</v>
      </c>
      <c r="M21" s="261">
        <v>3210</v>
      </c>
      <c r="N21" s="261">
        <f>'Feb 13(2)'!T12</f>
        <v>7296</v>
      </c>
      <c r="O21" s="274">
        <f t="shared" si="0"/>
        <v>131006</v>
      </c>
    </row>
    <row r="22" spans="1:15" ht="18" customHeight="1" thickBot="1">
      <c r="A22" s="560"/>
      <c r="B22" s="549"/>
      <c r="C22" s="275" t="s">
        <v>124</v>
      </c>
      <c r="D22" s="371">
        <v>-3702</v>
      </c>
      <c r="E22" s="371">
        <v>-22184</v>
      </c>
      <c r="F22" s="371">
        <v>-1218</v>
      </c>
      <c r="G22" s="371">
        <v>-53586</v>
      </c>
      <c r="H22" s="371">
        <v>-3446</v>
      </c>
      <c r="I22" s="276">
        <v>-4491</v>
      </c>
      <c r="J22" s="276">
        <v>-8195</v>
      </c>
      <c r="K22" s="276">
        <v>-1760</v>
      </c>
      <c r="L22" s="276">
        <v>-1913</v>
      </c>
      <c r="M22" s="276">
        <v>-1542</v>
      </c>
      <c r="N22" s="276">
        <f>N20-N21</f>
        <v>-5503</v>
      </c>
      <c r="O22" s="277">
        <f t="shared" si="0"/>
        <v>-107540</v>
      </c>
    </row>
    <row r="23" spans="1:15" ht="18" customHeight="1">
      <c r="A23" s="558">
        <v>7</v>
      </c>
      <c r="B23" s="547" t="s">
        <v>66</v>
      </c>
      <c r="C23" s="271" t="s">
        <v>122</v>
      </c>
      <c r="D23" s="369">
        <v>358</v>
      </c>
      <c r="E23" s="369">
        <v>259</v>
      </c>
      <c r="F23" s="369">
        <v>546</v>
      </c>
      <c r="G23" s="369">
        <v>409</v>
      </c>
      <c r="H23" s="369">
        <v>467</v>
      </c>
      <c r="I23" s="369">
        <v>301</v>
      </c>
      <c r="J23" s="369">
        <v>380</v>
      </c>
      <c r="K23" s="369">
        <v>342</v>
      </c>
      <c r="L23" s="369">
        <v>362</v>
      </c>
      <c r="M23" s="369">
        <v>648</v>
      </c>
      <c r="N23" s="280">
        <f>'Feb 13(2)'!AF13</f>
        <v>425</v>
      </c>
      <c r="O23" s="273">
        <f t="shared" si="0"/>
        <v>4497</v>
      </c>
    </row>
    <row r="24" spans="1:15" ht="18" customHeight="1">
      <c r="A24" s="559"/>
      <c r="B24" s="548"/>
      <c r="C24" s="257" t="s">
        <v>123</v>
      </c>
      <c r="D24" s="370">
        <v>678</v>
      </c>
      <c r="E24" s="370">
        <v>1050</v>
      </c>
      <c r="F24" s="370">
        <v>678</v>
      </c>
      <c r="G24" s="370">
        <v>1296</v>
      </c>
      <c r="H24" s="370">
        <v>218</v>
      </c>
      <c r="I24" s="370">
        <v>847</v>
      </c>
      <c r="J24" s="370">
        <v>342</v>
      </c>
      <c r="K24" s="370">
        <v>1971</v>
      </c>
      <c r="L24" s="370">
        <v>1566</v>
      </c>
      <c r="M24" s="370">
        <v>247</v>
      </c>
      <c r="N24" s="261">
        <f>'Feb 13(2)'!T13</f>
        <v>1008</v>
      </c>
      <c r="O24" s="274">
        <f t="shared" si="0"/>
        <v>9901</v>
      </c>
    </row>
    <row r="25" spans="1:15" ht="18" customHeight="1" thickBot="1">
      <c r="A25" s="560"/>
      <c r="B25" s="549"/>
      <c r="C25" s="275" t="s">
        <v>124</v>
      </c>
      <c r="D25" s="371">
        <v>-320</v>
      </c>
      <c r="E25" s="371">
        <v>-791</v>
      </c>
      <c r="F25" s="371">
        <v>-132</v>
      </c>
      <c r="G25" s="371">
        <v>-887</v>
      </c>
      <c r="H25" s="371">
        <v>249</v>
      </c>
      <c r="I25" s="371">
        <v>-546</v>
      </c>
      <c r="J25" s="371">
        <v>38</v>
      </c>
      <c r="K25" s="371">
        <v>-1629</v>
      </c>
      <c r="L25" s="371">
        <v>-1204</v>
      </c>
      <c r="M25" s="371">
        <v>401</v>
      </c>
      <c r="N25" s="276">
        <f>N23-N24</f>
        <v>-583</v>
      </c>
      <c r="O25" s="277">
        <f t="shared" si="0"/>
        <v>-5404</v>
      </c>
    </row>
    <row r="26" spans="1:15" ht="18" customHeight="1">
      <c r="A26" s="558">
        <v>8</v>
      </c>
      <c r="B26" s="547" t="s">
        <v>125</v>
      </c>
      <c r="C26" s="271" t="s">
        <v>122</v>
      </c>
      <c r="D26" s="369">
        <v>136</v>
      </c>
      <c r="E26" s="369">
        <v>304</v>
      </c>
      <c r="F26" s="369">
        <v>230</v>
      </c>
      <c r="G26" s="369">
        <v>347</v>
      </c>
      <c r="H26" s="369">
        <v>148</v>
      </c>
      <c r="I26" s="369">
        <v>187</v>
      </c>
      <c r="J26" s="369">
        <v>122</v>
      </c>
      <c r="K26" s="369">
        <v>130</v>
      </c>
      <c r="L26" s="369">
        <v>937</v>
      </c>
      <c r="M26" s="369">
        <v>0</v>
      </c>
      <c r="N26" s="280">
        <f>'Feb 13(2)'!AF14</f>
        <v>116</v>
      </c>
      <c r="O26" s="273">
        <f t="shared" si="0"/>
        <v>2657</v>
      </c>
    </row>
    <row r="27" spans="1:15" ht="18" customHeight="1">
      <c r="A27" s="559"/>
      <c r="B27" s="548"/>
      <c r="C27" s="257" t="s">
        <v>123</v>
      </c>
      <c r="D27" s="370">
        <v>1307</v>
      </c>
      <c r="E27" s="370">
        <v>683</v>
      </c>
      <c r="F27" s="370">
        <v>1629</v>
      </c>
      <c r="G27" s="370">
        <v>591</v>
      </c>
      <c r="H27" s="370">
        <v>1179</v>
      </c>
      <c r="I27" s="370">
        <v>481</v>
      </c>
      <c r="J27" s="370">
        <v>333</v>
      </c>
      <c r="K27" s="370">
        <v>2884</v>
      </c>
      <c r="L27" s="370">
        <v>1471</v>
      </c>
      <c r="M27" s="370">
        <v>760</v>
      </c>
      <c r="N27" s="261">
        <f>'Feb 13(2)'!T14</f>
        <v>406</v>
      </c>
      <c r="O27" s="274">
        <f t="shared" si="0"/>
        <v>11724</v>
      </c>
    </row>
    <row r="28" spans="1:17" ht="18" customHeight="1" thickBot="1">
      <c r="A28" s="560"/>
      <c r="B28" s="549"/>
      <c r="C28" s="275" t="s">
        <v>124</v>
      </c>
      <c r="D28" s="371">
        <v>-1171</v>
      </c>
      <c r="E28" s="371">
        <v>-379</v>
      </c>
      <c r="F28" s="371">
        <v>-1399</v>
      </c>
      <c r="G28" s="371">
        <v>-244</v>
      </c>
      <c r="H28" s="371">
        <v>-1031</v>
      </c>
      <c r="I28" s="371">
        <v>-294</v>
      </c>
      <c r="J28" s="371">
        <v>-211</v>
      </c>
      <c r="K28" s="371">
        <v>-2754</v>
      </c>
      <c r="L28" s="371">
        <v>-534</v>
      </c>
      <c r="M28" s="371">
        <v>-760</v>
      </c>
      <c r="N28" s="276">
        <f>N26-N27</f>
        <v>-290</v>
      </c>
      <c r="O28" s="277">
        <f t="shared" si="0"/>
        <v>-9067</v>
      </c>
      <c r="Q28" s="353"/>
    </row>
    <row r="29" spans="1:15" ht="18" customHeight="1">
      <c r="A29" s="558">
        <v>9</v>
      </c>
      <c r="B29" s="547" t="s">
        <v>33</v>
      </c>
      <c r="C29" s="271" t="s">
        <v>122</v>
      </c>
      <c r="D29" s="369">
        <v>1284</v>
      </c>
      <c r="E29" s="369">
        <v>1468</v>
      </c>
      <c r="F29" s="369">
        <v>1432</v>
      </c>
      <c r="G29" s="369">
        <v>1035</v>
      </c>
      <c r="H29" s="369">
        <v>1168</v>
      </c>
      <c r="I29" s="369">
        <v>898</v>
      </c>
      <c r="J29" s="369">
        <v>785</v>
      </c>
      <c r="K29" s="369">
        <v>874</v>
      </c>
      <c r="L29" s="369">
        <v>1391</v>
      </c>
      <c r="M29" s="369">
        <v>1570</v>
      </c>
      <c r="N29" s="280">
        <f>'Feb 13(2)'!AF15</f>
        <v>1202</v>
      </c>
      <c r="O29" s="273">
        <f t="shared" si="0"/>
        <v>13107</v>
      </c>
    </row>
    <row r="30" spans="1:15" ht="18" customHeight="1">
      <c r="A30" s="559"/>
      <c r="B30" s="548"/>
      <c r="C30" s="257" t="s">
        <v>123</v>
      </c>
      <c r="D30" s="370">
        <v>492</v>
      </c>
      <c r="E30" s="370">
        <v>2461</v>
      </c>
      <c r="F30" s="370">
        <v>842</v>
      </c>
      <c r="G30" s="370">
        <v>2721</v>
      </c>
      <c r="H30" s="370">
        <v>850</v>
      </c>
      <c r="I30" s="370">
        <v>2567</v>
      </c>
      <c r="J30" s="370">
        <v>620</v>
      </c>
      <c r="K30" s="370">
        <v>3960</v>
      </c>
      <c r="L30" s="370">
        <v>2858</v>
      </c>
      <c r="M30" s="370">
        <v>984</v>
      </c>
      <c r="N30" s="261">
        <f>'Feb 13(2)'!T15</f>
        <v>2366</v>
      </c>
      <c r="O30" s="274">
        <f t="shared" si="0"/>
        <v>20721</v>
      </c>
    </row>
    <row r="31" spans="1:15" ht="18" customHeight="1" thickBot="1">
      <c r="A31" s="560"/>
      <c r="B31" s="549"/>
      <c r="C31" s="275" t="s">
        <v>124</v>
      </c>
      <c r="D31" s="371">
        <v>792</v>
      </c>
      <c r="E31" s="371">
        <v>-993</v>
      </c>
      <c r="F31" s="371">
        <v>590</v>
      </c>
      <c r="G31" s="371">
        <v>-1686</v>
      </c>
      <c r="H31" s="371">
        <v>318</v>
      </c>
      <c r="I31" s="371">
        <v>-1669</v>
      </c>
      <c r="J31" s="371">
        <v>165</v>
      </c>
      <c r="K31" s="371">
        <v>-3086</v>
      </c>
      <c r="L31" s="371">
        <v>-1467</v>
      </c>
      <c r="M31" s="371">
        <v>586</v>
      </c>
      <c r="N31" s="276">
        <f>N29-N30</f>
        <v>-1164</v>
      </c>
      <c r="O31" s="277">
        <f t="shared" si="0"/>
        <v>-7614</v>
      </c>
    </row>
    <row r="32" spans="1:15" ht="18" customHeight="1">
      <c r="A32" s="558">
        <v>10</v>
      </c>
      <c r="B32" s="547" t="s">
        <v>6</v>
      </c>
      <c r="C32" s="271" t="s">
        <v>122</v>
      </c>
      <c r="D32" s="369">
        <v>82</v>
      </c>
      <c r="E32" s="369">
        <v>81</v>
      </c>
      <c r="F32" s="369">
        <v>71</v>
      </c>
      <c r="G32" s="369">
        <v>119</v>
      </c>
      <c r="H32" s="369">
        <v>77</v>
      </c>
      <c r="I32" s="369">
        <v>58</v>
      </c>
      <c r="J32" s="369">
        <v>403</v>
      </c>
      <c r="K32" s="369">
        <v>875</v>
      </c>
      <c r="L32" s="369">
        <v>89</v>
      </c>
      <c r="M32" s="369">
        <v>889</v>
      </c>
      <c r="N32" s="280">
        <f>'Feb 13(2)'!AF16</f>
        <v>79</v>
      </c>
      <c r="O32" s="273">
        <f t="shared" si="0"/>
        <v>2823</v>
      </c>
    </row>
    <row r="33" spans="1:15" ht="18" customHeight="1">
      <c r="A33" s="559"/>
      <c r="B33" s="548"/>
      <c r="C33" s="257" t="s">
        <v>123</v>
      </c>
      <c r="D33" s="370">
        <v>70</v>
      </c>
      <c r="E33" s="370">
        <v>93</v>
      </c>
      <c r="F33" s="370">
        <v>44</v>
      </c>
      <c r="G33" s="370">
        <v>74</v>
      </c>
      <c r="H33" s="370">
        <v>78</v>
      </c>
      <c r="I33" s="370">
        <v>98</v>
      </c>
      <c r="J33" s="370">
        <v>408</v>
      </c>
      <c r="K33" s="370">
        <v>1244</v>
      </c>
      <c r="L33" s="370">
        <v>718</v>
      </c>
      <c r="M33" s="370">
        <v>1056</v>
      </c>
      <c r="N33" s="261">
        <f>'Feb 13(2)'!T16</f>
        <v>184</v>
      </c>
      <c r="O33" s="274">
        <f t="shared" si="0"/>
        <v>4067</v>
      </c>
    </row>
    <row r="34" spans="1:15" ht="18" customHeight="1" thickBot="1">
      <c r="A34" s="560"/>
      <c r="B34" s="549"/>
      <c r="C34" s="275" t="s">
        <v>124</v>
      </c>
      <c r="D34" s="371">
        <v>12</v>
      </c>
      <c r="E34" s="371">
        <v>-12</v>
      </c>
      <c r="F34" s="371">
        <v>27</v>
      </c>
      <c r="G34" s="371">
        <v>45</v>
      </c>
      <c r="H34" s="371">
        <v>-1</v>
      </c>
      <c r="I34" s="371">
        <v>-40</v>
      </c>
      <c r="J34" s="371">
        <v>-5</v>
      </c>
      <c r="K34" s="371">
        <v>-369</v>
      </c>
      <c r="L34" s="371">
        <v>-629</v>
      </c>
      <c r="M34" s="371">
        <v>-167</v>
      </c>
      <c r="N34" s="276">
        <f>N32-N33</f>
        <v>-105</v>
      </c>
      <c r="O34" s="277">
        <f t="shared" si="0"/>
        <v>-1244</v>
      </c>
    </row>
    <row r="35" spans="1:18" ht="18" customHeight="1">
      <c r="A35" s="558">
        <v>11</v>
      </c>
      <c r="B35" s="547" t="s">
        <v>126</v>
      </c>
      <c r="C35" s="271" t="s">
        <v>122</v>
      </c>
      <c r="D35" s="369">
        <v>942</v>
      </c>
      <c r="E35" s="369">
        <v>928</v>
      </c>
      <c r="F35" s="369">
        <v>13973</v>
      </c>
      <c r="G35" s="369">
        <v>968</v>
      </c>
      <c r="H35" s="369">
        <v>871</v>
      </c>
      <c r="I35" s="369">
        <v>794</v>
      </c>
      <c r="J35" s="369">
        <v>586</v>
      </c>
      <c r="K35" s="369">
        <v>715</v>
      </c>
      <c r="L35" s="369">
        <v>729</v>
      </c>
      <c r="M35" s="369">
        <v>3757</v>
      </c>
      <c r="N35" s="280">
        <f>'Feb 13(2)'!AF17</f>
        <v>542</v>
      </c>
      <c r="O35" s="273">
        <f t="shared" si="0"/>
        <v>24805</v>
      </c>
      <c r="R35" s="146"/>
    </row>
    <row r="36" spans="1:15" ht="18" customHeight="1">
      <c r="A36" s="559"/>
      <c r="B36" s="548"/>
      <c r="C36" s="257" t="s">
        <v>123</v>
      </c>
      <c r="D36" s="370">
        <v>1865</v>
      </c>
      <c r="E36" s="370">
        <v>6523</v>
      </c>
      <c r="F36" s="370">
        <v>16906</v>
      </c>
      <c r="G36" s="370">
        <v>42561</v>
      </c>
      <c r="H36" s="370">
        <v>8005</v>
      </c>
      <c r="I36" s="370">
        <v>3466</v>
      </c>
      <c r="J36" s="370">
        <v>13544</v>
      </c>
      <c r="K36" s="370">
        <v>8920</v>
      </c>
      <c r="L36" s="370">
        <v>89494</v>
      </c>
      <c r="M36" s="370">
        <v>6507</v>
      </c>
      <c r="N36" s="261">
        <f>'Feb 13(2)'!T17</f>
        <v>7921</v>
      </c>
      <c r="O36" s="274">
        <f t="shared" si="0"/>
        <v>205712</v>
      </c>
    </row>
    <row r="37" spans="1:15" ht="18" customHeight="1" thickBot="1">
      <c r="A37" s="560"/>
      <c r="B37" s="549"/>
      <c r="C37" s="275" t="s">
        <v>124</v>
      </c>
      <c r="D37" s="371">
        <v>-923</v>
      </c>
      <c r="E37" s="371">
        <v>-5595</v>
      </c>
      <c r="F37" s="371">
        <v>-2933</v>
      </c>
      <c r="G37" s="371">
        <v>-41593</v>
      </c>
      <c r="H37" s="371">
        <v>-7134</v>
      </c>
      <c r="I37" s="371">
        <v>-2672</v>
      </c>
      <c r="J37" s="371">
        <v>-12958</v>
      </c>
      <c r="K37" s="371">
        <v>-8205</v>
      </c>
      <c r="L37" s="371">
        <v>-88765</v>
      </c>
      <c r="M37" s="371">
        <v>-2750</v>
      </c>
      <c r="N37" s="276">
        <f>N35-N36</f>
        <v>-7379</v>
      </c>
      <c r="O37" s="277">
        <f t="shared" si="0"/>
        <v>-180907</v>
      </c>
    </row>
    <row r="38" spans="1:15" ht="18" customHeight="1">
      <c r="A38" s="558">
        <v>12</v>
      </c>
      <c r="B38" s="547" t="s">
        <v>35</v>
      </c>
      <c r="C38" s="271" t="s">
        <v>122</v>
      </c>
      <c r="D38" s="369">
        <v>1749</v>
      </c>
      <c r="E38" s="369">
        <v>2509</v>
      </c>
      <c r="F38" s="369">
        <v>3245</v>
      </c>
      <c r="G38" s="369">
        <v>4923</v>
      </c>
      <c r="H38" s="369">
        <v>3724</v>
      </c>
      <c r="I38" s="369">
        <v>3861</v>
      </c>
      <c r="J38" s="369">
        <v>3296</v>
      </c>
      <c r="K38" s="369">
        <v>3192</v>
      </c>
      <c r="L38" s="369">
        <v>2854</v>
      </c>
      <c r="M38" s="369">
        <v>2596</v>
      </c>
      <c r="N38" s="280">
        <f>'Feb 13(2)'!AF18</f>
        <v>2366</v>
      </c>
      <c r="O38" s="273">
        <f t="shared" si="0"/>
        <v>34315</v>
      </c>
    </row>
    <row r="39" spans="1:15" ht="18" customHeight="1">
      <c r="A39" s="559"/>
      <c r="B39" s="548"/>
      <c r="C39" s="257" t="s">
        <v>123</v>
      </c>
      <c r="D39" s="370">
        <v>6132</v>
      </c>
      <c r="E39" s="370">
        <v>7604</v>
      </c>
      <c r="F39" s="370">
        <v>11275</v>
      </c>
      <c r="G39" s="370">
        <v>9961</v>
      </c>
      <c r="H39" s="370">
        <v>6852</v>
      </c>
      <c r="I39" s="370">
        <v>7456</v>
      </c>
      <c r="J39" s="370">
        <v>8730</v>
      </c>
      <c r="K39" s="370">
        <v>7617</v>
      </c>
      <c r="L39" s="370">
        <v>6694</v>
      </c>
      <c r="M39" s="370">
        <v>2958</v>
      </c>
      <c r="N39" s="261">
        <f>'Feb 13(2)'!T18</f>
        <v>4222</v>
      </c>
      <c r="O39" s="274">
        <f t="shared" si="0"/>
        <v>79501</v>
      </c>
    </row>
    <row r="40" spans="1:15" ht="18" customHeight="1" thickBot="1">
      <c r="A40" s="560"/>
      <c r="B40" s="549"/>
      <c r="C40" s="275" t="s">
        <v>124</v>
      </c>
      <c r="D40" s="371">
        <v>-4383</v>
      </c>
      <c r="E40" s="371">
        <v>-5095</v>
      </c>
      <c r="F40" s="371">
        <v>-8030</v>
      </c>
      <c r="G40" s="371">
        <v>-5038</v>
      </c>
      <c r="H40" s="371">
        <v>-3128</v>
      </c>
      <c r="I40" s="371">
        <v>-3595</v>
      </c>
      <c r="J40" s="371">
        <v>-5434</v>
      </c>
      <c r="K40" s="371">
        <v>-4425</v>
      </c>
      <c r="L40" s="371">
        <v>-3840</v>
      </c>
      <c r="M40" s="371">
        <v>-362</v>
      </c>
      <c r="N40" s="276">
        <f>N38-N39</f>
        <v>-1856</v>
      </c>
      <c r="O40" s="277">
        <f t="shared" si="0"/>
        <v>-45186</v>
      </c>
    </row>
    <row r="41" spans="1:15" ht="18" customHeight="1">
      <c r="A41" s="558">
        <v>13</v>
      </c>
      <c r="B41" s="547" t="s">
        <v>127</v>
      </c>
      <c r="C41" s="271" t="s">
        <v>122</v>
      </c>
      <c r="D41" s="369">
        <v>4623</v>
      </c>
      <c r="E41" s="369">
        <v>195</v>
      </c>
      <c r="F41" s="369">
        <v>341</v>
      </c>
      <c r="G41" s="369">
        <v>397</v>
      </c>
      <c r="H41" s="369">
        <v>1124</v>
      </c>
      <c r="I41" s="369">
        <v>21336</v>
      </c>
      <c r="J41" s="369">
        <v>107</v>
      </c>
      <c r="K41" s="369">
        <v>0</v>
      </c>
      <c r="L41" s="369">
        <v>5419</v>
      </c>
      <c r="M41" s="369">
        <v>1041</v>
      </c>
      <c r="N41" s="280">
        <f>'Feb 13(2)'!AF19</f>
        <v>1534</v>
      </c>
      <c r="O41" s="273">
        <f t="shared" si="0"/>
        <v>36117</v>
      </c>
    </row>
    <row r="42" spans="1:15" ht="18" customHeight="1">
      <c r="A42" s="559"/>
      <c r="B42" s="548"/>
      <c r="C42" s="257" t="s">
        <v>123</v>
      </c>
      <c r="D42" s="370">
        <v>3309</v>
      </c>
      <c r="E42" s="370">
        <v>1370</v>
      </c>
      <c r="F42" s="370">
        <v>1154</v>
      </c>
      <c r="G42" s="370">
        <v>4742</v>
      </c>
      <c r="H42" s="370">
        <v>1442</v>
      </c>
      <c r="I42" s="370">
        <v>52942</v>
      </c>
      <c r="J42" s="370">
        <v>3119</v>
      </c>
      <c r="K42" s="370">
        <v>5335</v>
      </c>
      <c r="L42" s="370">
        <v>3351</v>
      </c>
      <c r="M42" s="370">
        <v>15735</v>
      </c>
      <c r="N42" s="261">
        <f>'Feb 13(2)'!T19</f>
        <v>1811</v>
      </c>
      <c r="O42" s="274">
        <f t="shared" si="0"/>
        <v>94310</v>
      </c>
    </row>
    <row r="43" spans="1:15" ht="18" customHeight="1" thickBot="1">
      <c r="A43" s="560"/>
      <c r="B43" s="549"/>
      <c r="C43" s="275" t="s">
        <v>124</v>
      </c>
      <c r="D43" s="371">
        <v>1314</v>
      </c>
      <c r="E43" s="371">
        <v>-1175</v>
      </c>
      <c r="F43" s="371">
        <v>-813</v>
      </c>
      <c r="G43" s="371">
        <v>-4345</v>
      </c>
      <c r="H43" s="371">
        <v>-318</v>
      </c>
      <c r="I43" s="371">
        <v>-31606</v>
      </c>
      <c r="J43" s="371">
        <v>-3012</v>
      </c>
      <c r="K43" s="371">
        <v>-5335</v>
      </c>
      <c r="L43" s="371">
        <v>2068</v>
      </c>
      <c r="M43" s="371">
        <v>-14694</v>
      </c>
      <c r="N43" s="276">
        <f>N41-N42</f>
        <v>-277</v>
      </c>
      <c r="O43" s="277">
        <f t="shared" si="0"/>
        <v>-58193</v>
      </c>
    </row>
    <row r="44" spans="1:17" ht="18" customHeight="1">
      <c r="A44" s="558">
        <v>14</v>
      </c>
      <c r="B44" s="547" t="s">
        <v>36</v>
      </c>
      <c r="C44" s="271" t="s">
        <v>122</v>
      </c>
      <c r="D44" s="369">
        <v>1234</v>
      </c>
      <c r="E44" s="369">
        <v>1560</v>
      </c>
      <c r="F44" s="369">
        <v>1480</v>
      </c>
      <c r="G44" s="369">
        <v>1912</v>
      </c>
      <c r="H44" s="369">
        <v>2591</v>
      </c>
      <c r="I44" s="369">
        <v>3083</v>
      </c>
      <c r="J44" s="369">
        <v>1770</v>
      </c>
      <c r="K44" s="369">
        <v>1537</v>
      </c>
      <c r="L44" s="369">
        <v>2159</v>
      </c>
      <c r="M44" s="369">
        <v>2467</v>
      </c>
      <c r="N44" s="280">
        <f>'Feb 13(2)'!AF20</f>
        <v>1770</v>
      </c>
      <c r="O44" s="273">
        <f t="shared" si="0"/>
        <v>21563</v>
      </c>
      <c r="Q44" s="264"/>
    </row>
    <row r="45" spans="1:17" ht="18" customHeight="1">
      <c r="A45" s="559"/>
      <c r="B45" s="548"/>
      <c r="C45" s="257" t="s">
        <v>123</v>
      </c>
      <c r="D45" s="370">
        <v>6135</v>
      </c>
      <c r="E45" s="370">
        <v>6235</v>
      </c>
      <c r="F45" s="370">
        <v>5380</v>
      </c>
      <c r="G45" s="370">
        <v>6762</v>
      </c>
      <c r="H45" s="370">
        <v>10967</v>
      </c>
      <c r="I45" s="370">
        <v>4585</v>
      </c>
      <c r="J45" s="370">
        <v>8712</v>
      </c>
      <c r="K45" s="370">
        <v>9309</v>
      </c>
      <c r="L45" s="370">
        <v>4725</v>
      </c>
      <c r="M45" s="370">
        <v>9693</v>
      </c>
      <c r="N45" s="261">
        <f>'Feb 13(2)'!T20</f>
        <v>2496</v>
      </c>
      <c r="O45" s="274">
        <f t="shared" si="0"/>
        <v>74999</v>
      </c>
      <c r="Q45" s="264"/>
    </row>
    <row r="46" spans="1:17" ht="18" customHeight="1" thickBot="1">
      <c r="A46" s="560"/>
      <c r="B46" s="549"/>
      <c r="C46" s="275" t="s">
        <v>124</v>
      </c>
      <c r="D46" s="371">
        <v>-4901</v>
      </c>
      <c r="E46" s="371">
        <v>-4675</v>
      </c>
      <c r="F46" s="371">
        <v>-3900</v>
      </c>
      <c r="G46" s="371">
        <v>-4850</v>
      </c>
      <c r="H46" s="371">
        <v>-8376</v>
      </c>
      <c r="I46" s="371">
        <v>-1502</v>
      </c>
      <c r="J46" s="371">
        <v>-6942</v>
      </c>
      <c r="K46" s="371">
        <v>-7772</v>
      </c>
      <c r="L46" s="371">
        <v>-2566</v>
      </c>
      <c r="M46" s="371">
        <v>-7226</v>
      </c>
      <c r="N46" s="276">
        <f>N44-N45</f>
        <v>-726</v>
      </c>
      <c r="O46" s="277">
        <f t="shared" si="0"/>
        <v>-53436</v>
      </c>
      <c r="Q46" s="264"/>
    </row>
    <row r="47" spans="1:17" ht="18" customHeight="1">
      <c r="A47" s="558">
        <v>15</v>
      </c>
      <c r="B47" s="547" t="s">
        <v>13</v>
      </c>
      <c r="C47" s="271" t="s">
        <v>122</v>
      </c>
      <c r="D47" s="369">
        <v>232</v>
      </c>
      <c r="E47" s="369">
        <v>321</v>
      </c>
      <c r="F47" s="369">
        <v>160</v>
      </c>
      <c r="G47" s="369">
        <v>234</v>
      </c>
      <c r="H47" s="369">
        <v>443</v>
      </c>
      <c r="I47" s="369">
        <v>234</v>
      </c>
      <c r="J47" s="369">
        <v>304</v>
      </c>
      <c r="K47" s="369">
        <v>216</v>
      </c>
      <c r="L47" s="369">
        <v>286</v>
      </c>
      <c r="M47" s="369">
        <v>557</v>
      </c>
      <c r="N47" s="280">
        <f>'Feb 13(2)'!AF21</f>
        <v>711</v>
      </c>
      <c r="O47" s="273">
        <f t="shared" si="0"/>
        <v>3698</v>
      </c>
      <c r="Q47" s="264"/>
    </row>
    <row r="48" spans="1:17" ht="18" customHeight="1">
      <c r="A48" s="569"/>
      <c r="B48" s="548"/>
      <c r="C48" s="257" t="s">
        <v>123</v>
      </c>
      <c r="D48" s="370">
        <v>128</v>
      </c>
      <c r="E48" s="370">
        <v>85</v>
      </c>
      <c r="F48" s="370">
        <v>10</v>
      </c>
      <c r="G48" s="370">
        <v>90</v>
      </c>
      <c r="H48" s="370">
        <v>86</v>
      </c>
      <c r="I48" s="370">
        <v>76</v>
      </c>
      <c r="J48" s="370">
        <v>8338</v>
      </c>
      <c r="K48" s="370">
        <v>54</v>
      </c>
      <c r="L48" s="370">
        <v>58</v>
      </c>
      <c r="M48" s="370">
        <v>714</v>
      </c>
      <c r="N48" s="261">
        <f>'Feb 13(2)'!T21</f>
        <v>1398</v>
      </c>
      <c r="O48" s="274">
        <f t="shared" si="0"/>
        <v>11037</v>
      </c>
      <c r="Q48" s="264"/>
    </row>
    <row r="49" spans="1:17" ht="18" customHeight="1" thickBot="1">
      <c r="A49" s="570"/>
      <c r="B49" s="549"/>
      <c r="C49" s="275" t="s">
        <v>124</v>
      </c>
      <c r="D49" s="371">
        <v>104</v>
      </c>
      <c r="E49" s="371">
        <v>236</v>
      </c>
      <c r="F49" s="371">
        <v>150</v>
      </c>
      <c r="G49" s="371">
        <v>144</v>
      </c>
      <c r="H49" s="371">
        <v>357</v>
      </c>
      <c r="I49" s="371">
        <v>158</v>
      </c>
      <c r="J49" s="371">
        <v>-8034</v>
      </c>
      <c r="K49" s="371">
        <v>162</v>
      </c>
      <c r="L49" s="371">
        <v>228</v>
      </c>
      <c r="M49" s="371">
        <v>-157</v>
      </c>
      <c r="N49" s="276">
        <f>N47-N48</f>
        <v>-687</v>
      </c>
      <c r="O49" s="277">
        <f t="shared" si="0"/>
        <v>-7339</v>
      </c>
      <c r="Q49" s="264"/>
    </row>
    <row r="50" spans="1:17" ht="18" customHeight="1">
      <c r="A50" s="558">
        <v>16</v>
      </c>
      <c r="B50" s="547" t="s">
        <v>12</v>
      </c>
      <c r="C50" s="271" t="s">
        <v>122</v>
      </c>
      <c r="D50" s="369">
        <v>470</v>
      </c>
      <c r="E50" s="369">
        <v>588</v>
      </c>
      <c r="F50" s="369">
        <v>395</v>
      </c>
      <c r="G50" s="369">
        <v>443</v>
      </c>
      <c r="H50" s="369">
        <v>505</v>
      </c>
      <c r="I50" s="369">
        <v>265</v>
      </c>
      <c r="J50" s="369">
        <v>434</v>
      </c>
      <c r="K50" s="369">
        <v>419</v>
      </c>
      <c r="L50" s="369">
        <v>194</v>
      </c>
      <c r="M50" s="369">
        <v>329</v>
      </c>
      <c r="N50" s="280">
        <f>'Feb 13(2)'!AF22</f>
        <v>556</v>
      </c>
      <c r="O50" s="273">
        <f t="shared" si="0"/>
        <v>4598</v>
      </c>
      <c r="Q50" s="264"/>
    </row>
    <row r="51" spans="1:17" ht="18" customHeight="1">
      <c r="A51" s="559"/>
      <c r="B51" s="548"/>
      <c r="C51" s="257" t="s">
        <v>123</v>
      </c>
      <c r="D51" s="370">
        <v>54</v>
      </c>
      <c r="E51" s="370">
        <v>49</v>
      </c>
      <c r="F51" s="370">
        <v>38</v>
      </c>
      <c r="G51" s="370">
        <v>51</v>
      </c>
      <c r="H51" s="370">
        <v>66</v>
      </c>
      <c r="I51" s="370">
        <v>32</v>
      </c>
      <c r="J51" s="370">
        <v>22</v>
      </c>
      <c r="K51" s="370">
        <v>26</v>
      </c>
      <c r="L51" s="370">
        <v>14</v>
      </c>
      <c r="M51" s="370">
        <v>15</v>
      </c>
      <c r="N51" s="261">
        <f>'Feb 13(2)'!T22</f>
        <v>20</v>
      </c>
      <c r="O51" s="274">
        <f t="shared" si="0"/>
        <v>387</v>
      </c>
      <c r="Q51" s="264"/>
    </row>
    <row r="52" spans="1:17" ht="18" customHeight="1" thickBot="1">
      <c r="A52" s="560"/>
      <c r="B52" s="549"/>
      <c r="C52" s="275" t="s">
        <v>124</v>
      </c>
      <c r="D52" s="371">
        <v>416</v>
      </c>
      <c r="E52" s="371">
        <v>539</v>
      </c>
      <c r="F52" s="371">
        <v>357</v>
      </c>
      <c r="G52" s="371">
        <v>392</v>
      </c>
      <c r="H52" s="371">
        <v>439</v>
      </c>
      <c r="I52" s="371">
        <v>233</v>
      </c>
      <c r="J52" s="371">
        <v>412</v>
      </c>
      <c r="K52" s="371">
        <v>393</v>
      </c>
      <c r="L52" s="371">
        <v>180</v>
      </c>
      <c r="M52" s="371">
        <v>314</v>
      </c>
      <c r="N52" s="276">
        <f>N50-N51</f>
        <v>536</v>
      </c>
      <c r="O52" s="277">
        <f t="shared" si="0"/>
        <v>4211</v>
      </c>
      <c r="Q52" s="264"/>
    </row>
    <row r="53" spans="1:17" ht="18" customHeight="1">
      <c r="A53" s="558">
        <v>17</v>
      </c>
      <c r="B53" s="547" t="s">
        <v>69</v>
      </c>
      <c r="C53" s="271" t="s">
        <v>122</v>
      </c>
      <c r="D53" s="369">
        <v>304</v>
      </c>
      <c r="E53" s="369">
        <v>252</v>
      </c>
      <c r="F53" s="369">
        <v>203</v>
      </c>
      <c r="G53" s="369">
        <v>412</v>
      </c>
      <c r="H53" s="369">
        <v>285</v>
      </c>
      <c r="I53" s="369">
        <v>248</v>
      </c>
      <c r="J53" s="369">
        <v>225</v>
      </c>
      <c r="K53" s="369">
        <v>203</v>
      </c>
      <c r="L53" s="369">
        <v>529</v>
      </c>
      <c r="M53" s="369">
        <v>845</v>
      </c>
      <c r="N53" s="280">
        <f>'Feb 13(2)'!AF23</f>
        <v>393</v>
      </c>
      <c r="O53" s="273">
        <f t="shared" si="0"/>
        <v>3899</v>
      </c>
      <c r="Q53" s="264"/>
    </row>
    <row r="54" spans="1:17" ht="18" customHeight="1">
      <c r="A54" s="559"/>
      <c r="B54" s="548"/>
      <c r="C54" s="257" t="s">
        <v>123</v>
      </c>
      <c r="D54" s="370">
        <v>93</v>
      </c>
      <c r="E54" s="370">
        <v>148</v>
      </c>
      <c r="F54" s="370">
        <v>691</v>
      </c>
      <c r="G54" s="370">
        <v>124</v>
      </c>
      <c r="H54" s="370">
        <v>2638</v>
      </c>
      <c r="I54" s="370">
        <v>139</v>
      </c>
      <c r="J54" s="370">
        <v>2207</v>
      </c>
      <c r="K54" s="370">
        <v>103</v>
      </c>
      <c r="L54" s="370">
        <v>52595</v>
      </c>
      <c r="M54" s="370">
        <v>1408</v>
      </c>
      <c r="N54" s="261">
        <f>'Feb 13(2)'!T23</f>
        <v>1051</v>
      </c>
      <c r="O54" s="274">
        <f t="shared" si="0"/>
        <v>61197</v>
      </c>
      <c r="Q54" s="264"/>
    </row>
    <row r="55" spans="1:17" ht="18" customHeight="1" thickBot="1">
      <c r="A55" s="560"/>
      <c r="B55" s="549"/>
      <c r="C55" s="275" t="s">
        <v>124</v>
      </c>
      <c r="D55" s="371">
        <v>211</v>
      </c>
      <c r="E55" s="371">
        <v>104</v>
      </c>
      <c r="F55" s="371">
        <v>-488</v>
      </c>
      <c r="G55" s="371">
        <v>288</v>
      </c>
      <c r="H55" s="371">
        <v>-2353</v>
      </c>
      <c r="I55" s="371">
        <v>109</v>
      </c>
      <c r="J55" s="371">
        <v>-1982</v>
      </c>
      <c r="K55" s="371">
        <v>100</v>
      </c>
      <c r="L55" s="371">
        <v>-52066</v>
      </c>
      <c r="M55" s="371">
        <v>-563</v>
      </c>
      <c r="N55" s="276">
        <f>N53-N54</f>
        <v>-658</v>
      </c>
      <c r="O55" s="277">
        <f t="shared" si="0"/>
        <v>-57298</v>
      </c>
      <c r="Q55" s="264"/>
    </row>
    <row r="56" spans="1:17" ht="18" customHeight="1">
      <c r="A56" s="558">
        <v>18</v>
      </c>
      <c r="B56" s="547" t="s">
        <v>37</v>
      </c>
      <c r="C56" s="271" t="s">
        <v>122</v>
      </c>
      <c r="D56" s="369">
        <v>516</v>
      </c>
      <c r="E56" s="369">
        <v>527</v>
      </c>
      <c r="F56" s="369">
        <v>325</v>
      </c>
      <c r="G56" s="369">
        <v>311</v>
      </c>
      <c r="H56" s="369">
        <v>617</v>
      </c>
      <c r="I56" s="369">
        <v>454</v>
      </c>
      <c r="J56" s="369">
        <v>304</v>
      </c>
      <c r="K56" s="369">
        <v>416</v>
      </c>
      <c r="L56" s="369">
        <v>1128</v>
      </c>
      <c r="M56" s="369">
        <v>832</v>
      </c>
      <c r="N56" s="280">
        <f>'Feb 13(2)'!AF24</f>
        <v>704</v>
      </c>
      <c r="O56" s="273">
        <f t="shared" si="0"/>
        <v>6134</v>
      </c>
      <c r="Q56" s="264"/>
    </row>
    <row r="57" spans="1:17" ht="18" customHeight="1">
      <c r="A57" s="559"/>
      <c r="B57" s="548"/>
      <c r="C57" s="257" t="s">
        <v>123</v>
      </c>
      <c r="D57" s="370">
        <v>1930</v>
      </c>
      <c r="E57" s="370">
        <v>883</v>
      </c>
      <c r="F57" s="370">
        <v>1298</v>
      </c>
      <c r="G57" s="370">
        <v>536</v>
      </c>
      <c r="H57" s="370">
        <v>1785</v>
      </c>
      <c r="I57" s="370">
        <v>1380</v>
      </c>
      <c r="J57" s="370">
        <v>2417</v>
      </c>
      <c r="K57" s="370">
        <v>3757</v>
      </c>
      <c r="L57" s="370">
        <v>655</v>
      </c>
      <c r="M57" s="370">
        <v>6073</v>
      </c>
      <c r="N57" s="261">
        <f>'Feb 13(2)'!T24</f>
        <v>1544</v>
      </c>
      <c r="O57" s="274">
        <f t="shared" si="0"/>
        <v>22258</v>
      </c>
      <c r="Q57" s="264"/>
    </row>
    <row r="58" spans="1:17" ht="18" customHeight="1" thickBot="1">
      <c r="A58" s="560"/>
      <c r="B58" s="549"/>
      <c r="C58" s="275" t="s">
        <v>124</v>
      </c>
      <c r="D58" s="371">
        <v>-1414</v>
      </c>
      <c r="E58" s="371">
        <v>-356</v>
      </c>
      <c r="F58" s="371">
        <v>-973</v>
      </c>
      <c r="G58" s="371">
        <v>-225</v>
      </c>
      <c r="H58" s="371">
        <v>-1168</v>
      </c>
      <c r="I58" s="371">
        <v>-926</v>
      </c>
      <c r="J58" s="371">
        <v>-2113</v>
      </c>
      <c r="K58" s="371">
        <v>-3341</v>
      </c>
      <c r="L58" s="371">
        <v>473</v>
      </c>
      <c r="M58" s="371">
        <v>-5241</v>
      </c>
      <c r="N58" s="276">
        <f>N56-N57</f>
        <v>-840</v>
      </c>
      <c r="O58" s="277">
        <f t="shared" si="0"/>
        <v>-16124</v>
      </c>
      <c r="Q58" s="264"/>
    </row>
    <row r="59" spans="1:17" ht="18" customHeight="1">
      <c r="A59" s="558">
        <v>19</v>
      </c>
      <c r="B59" s="547" t="s">
        <v>70</v>
      </c>
      <c r="C59" s="271" t="s">
        <v>122</v>
      </c>
      <c r="D59" s="369">
        <v>0</v>
      </c>
      <c r="E59" s="369">
        <v>40230</v>
      </c>
      <c r="F59" s="369">
        <v>1796</v>
      </c>
      <c r="G59" s="369">
        <v>2663</v>
      </c>
      <c r="H59" s="369">
        <v>3378</v>
      </c>
      <c r="I59" s="369">
        <v>2198</v>
      </c>
      <c r="J59" s="369">
        <v>45331</v>
      </c>
      <c r="K59" s="369">
        <v>4267</v>
      </c>
      <c r="L59" s="369">
        <v>380</v>
      </c>
      <c r="M59" s="369">
        <v>2682</v>
      </c>
      <c r="N59" s="280">
        <f>'Feb 13(2)'!AF25</f>
        <v>1116</v>
      </c>
      <c r="O59" s="273">
        <f t="shared" si="0"/>
        <v>104041</v>
      </c>
      <c r="Q59" s="264"/>
    </row>
    <row r="60" spans="1:18" ht="18" customHeight="1">
      <c r="A60" s="559"/>
      <c r="B60" s="548"/>
      <c r="C60" s="257" t="s">
        <v>123</v>
      </c>
      <c r="D60" s="370">
        <v>10153</v>
      </c>
      <c r="E60" s="370">
        <v>41278</v>
      </c>
      <c r="F60" s="370">
        <v>3588</v>
      </c>
      <c r="G60" s="370">
        <v>2684</v>
      </c>
      <c r="H60" s="370">
        <v>6188</v>
      </c>
      <c r="I60" s="370">
        <v>4145</v>
      </c>
      <c r="J60" s="370">
        <v>48282</v>
      </c>
      <c r="K60" s="370">
        <v>6897</v>
      </c>
      <c r="L60" s="370">
        <v>1487</v>
      </c>
      <c r="M60" s="370">
        <v>4061</v>
      </c>
      <c r="N60" s="261">
        <f>'Feb 13(2)'!T25</f>
        <v>1095</v>
      </c>
      <c r="O60" s="274">
        <f t="shared" si="0"/>
        <v>129858</v>
      </c>
      <c r="Q60" s="264"/>
      <c r="R60" s="415"/>
    </row>
    <row r="61" spans="1:17" ht="18" customHeight="1" thickBot="1">
      <c r="A61" s="560"/>
      <c r="B61" s="549"/>
      <c r="C61" s="275" t="s">
        <v>124</v>
      </c>
      <c r="D61" s="371">
        <v>-10153</v>
      </c>
      <c r="E61" s="371">
        <v>-1048</v>
      </c>
      <c r="F61" s="371">
        <v>-1792</v>
      </c>
      <c r="G61" s="371">
        <v>-21</v>
      </c>
      <c r="H61" s="371">
        <v>-2810</v>
      </c>
      <c r="I61" s="371">
        <v>-1947</v>
      </c>
      <c r="J61" s="371">
        <v>-2951</v>
      </c>
      <c r="K61" s="371">
        <v>-2630</v>
      </c>
      <c r="L61" s="371">
        <v>-1107</v>
      </c>
      <c r="M61" s="371">
        <v>-1379</v>
      </c>
      <c r="N61" s="276">
        <f>N59-N60</f>
        <v>21</v>
      </c>
      <c r="O61" s="277">
        <f t="shared" si="0"/>
        <v>-25817</v>
      </c>
      <c r="Q61" s="264"/>
    </row>
    <row r="62" spans="1:17" ht="18" customHeight="1">
      <c r="A62" s="558">
        <v>20</v>
      </c>
      <c r="B62" s="547" t="s">
        <v>71</v>
      </c>
      <c r="C62" s="271" t="s">
        <v>122</v>
      </c>
      <c r="D62" s="369">
        <v>1070</v>
      </c>
      <c r="E62" s="369">
        <v>1372</v>
      </c>
      <c r="F62" s="369">
        <v>1929</v>
      </c>
      <c r="G62" s="369">
        <v>2122</v>
      </c>
      <c r="H62" s="369">
        <v>1646</v>
      </c>
      <c r="I62" s="369">
        <v>1625</v>
      </c>
      <c r="J62" s="369">
        <v>1140</v>
      </c>
      <c r="K62" s="369">
        <v>1235</v>
      </c>
      <c r="L62" s="369">
        <v>1433</v>
      </c>
      <c r="M62" s="369">
        <v>1215</v>
      </c>
      <c r="N62" s="280">
        <f>'Feb 13(2)'!AF26</f>
        <v>1191</v>
      </c>
      <c r="O62" s="273">
        <f t="shared" si="0"/>
        <v>15978</v>
      </c>
      <c r="Q62" s="264"/>
    </row>
    <row r="63" spans="1:15" ht="18" customHeight="1">
      <c r="A63" s="559"/>
      <c r="B63" s="548"/>
      <c r="C63" s="257" t="s">
        <v>123</v>
      </c>
      <c r="D63" s="370">
        <v>180567</v>
      </c>
      <c r="E63" s="370">
        <v>6155</v>
      </c>
      <c r="F63" s="370">
        <v>23068</v>
      </c>
      <c r="G63" s="370">
        <v>87887</v>
      </c>
      <c r="H63" s="370">
        <v>7185</v>
      </c>
      <c r="I63" s="370">
        <v>4538</v>
      </c>
      <c r="J63" s="370">
        <v>10668</v>
      </c>
      <c r="K63" s="370">
        <v>4618</v>
      </c>
      <c r="L63" s="370">
        <v>1144</v>
      </c>
      <c r="M63" s="370">
        <v>897</v>
      </c>
      <c r="N63" s="261">
        <f>'Feb 13(2)'!T26</f>
        <v>6450</v>
      </c>
      <c r="O63" s="274">
        <f t="shared" si="0"/>
        <v>333177</v>
      </c>
    </row>
    <row r="64" spans="1:15" ht="18" customHeight="1" thickBot="1">
      <c r="A64" s="560"/>
      <c r="B64" s="549"/>
      <c r="C64" s="275" t="s">
        <v>124</v>
      </c>
      <c r="D64" s="371">
        <v>-179497</v>
      </c>
      <c r="E64" s="371">
        <v>-4783</v>
      </c>
      <c r="F64" s="371">
        <v>-21139</v>
      </c>
      <c r="G64" s="371">
        <v>-85765</v>
      </c>
      <c r="H64" s="371">
        <v>-5539</v>
      </c>
      <c r="I64" s="371">
        <v>-2913</v>
      </c>
      <c r="J64" s="371">
        <v>-9528</v>
      </c>
      <c r="K64" s="371">
        <v>-3383</v>
      </c>
      <c r="L64" s="371">
        <v>289</v>
      </c>
      <c r="M64" s="371">
        <v>318</v>
      </c>
      <c r="N64" s="276">
        <f>N62-N63</f>
        <v>-5259</v>
      </c>
      <c r="O64" s="277">
        <f t="shared" si="0"/>
        <v>-317199</v>
      </c>
    </row>
    <row r="65" spans="1:15" ht="18" customHeight="1">
      <c r="A65" s="558">
        <v>21</v>
      </c>
      <c r="B65" s="547" t="s">
        <v>72</v>
      </c>
      <c r="C65" s="271" t="s">
        <v>122</v>
      </c>
      <c r="D65" s="369">
        <v>0</v>
      </c>
      <c r="E65" s="369">
        <v>410</v>
      </c>
      <c r="F65" s="369">
        <v>259</v>
      </c>
      <c r="G65" s="369">
        <v>302</v>
      </c>
      <c r="H65" s="369">
        <v>519</v>
      </c>
      <c r="I65" s="369">
        <v>270</v>
      </c>
      <c r="J65" s="369">
        <v>358</v>
      </c>
      <c r="K65" s="369">
        <v>12</v>
      </c>
      <c r="L65" s="369">
        <v>224</v>
      </c>
      <c r="M65" s="369">
        <v>0</v>
      </c>
      <c r="N65" s="280">
        <f>'Feb 13(2)'!AF27</f>
        <v>273</v>
      </c>
      <c r="O65" s="273">
        <f t="shared" si="0"/>
        <v>2627</v>
      </c>
    </row>
    <row r="66" spans="1:15" ht="18" customHeight="1">
      <c r="A66" s="559"/>
      <c r="B66" s="548"/>
      <c r="C66" s="257" t="s">
        <v>123</v>
      </c>
      <c r="D66" s="370">
        <v>2925</v>
      </c>
      <c r="E66" s="370">
        <v>1587</v>
      </c>
      <c r="F66" s="370">
        <v>779</v>
      </c>
      <c r="G66" s="370">
        <v>1421</v>
      </c>
      <c r="H66" s="370">
        <v>1379</v>
      </c>
      <c r="I66" s="370">
        <v>1726</v>
      </c>
      <c r="J66" s="370">
        <v>1478</v>
      </c>
      <c r="K66" s="370">
        <v>1453</v>
      </c>
      <c r="L66" s="370">
        <v>731</v>
      </c>
      <c r="M66" s="370">
        <v>945</v>
      </c>
      <c r="N66" s="261">
        <f>'Feb 13(2)'!T27</f>
        <v>712</v>
      </c>
      <c r="O66" s="274">
        <f t="shared" si="0"/>
        <v>15136</v>
      </c>
    </row>
    <row r="67" spans="1:15" ht="18" customHeight="1" thickBot="1">
      <c r="A67" s="560"/>
      <c r="B67" s="549"/>
      <c r="C67" s="275" t="s">
        <v>124</v>
      </c>
      <c r="D67" s="371">
        <v>-2925</v>
      </c>
      <c r="E67" s="371">
        <v>-1177</v>
      </c>
      <c r="F67" s="371">
        <v>-520</v>
      </c>
      <c r="G67" s="371">
        <v>-1119</v>
      </c>
      <c r="H67" s="371">
        <v>-860</v>
      </c>
      <c r="I67" s="371">
        <v>-1456</v>
      </c>
      <c r="J67" s="371">
        <v>-1120</v>
      </c>
      <c r="K67" s="371">
        <v>-1441</v>
      </c>
      <c r="L67" s="371">
        <v>-507</v>
      </c>
      <c r="M67" s="371">
        <v>-945</v>
      </c>
      <c r="N67" s="276">
        <f>N65-N66</f>
        <v>-439</v>
      </c>
      <c r="O67" s="277">
        <f t="shared" si="0"/>
        <v>-12509</v>
      </c>
    </row>
    <row r="68" spans="1:15" ht="18" customHeight="1">
      <c r="A68" s="558">
        <v>22</v>
      </c>
      <c r="B68" s="547" t="s">
        <v>7</v>
      </c>
      <c r="C68" s="271" t="s">
        <v>122</v>
      </c>
      <c r="D68" s="369">
        <v>1062</v>
      </c>
      <c r="E68" s="369">
        <v>1317</v>
      </c>
      <c r="F68" s="369">
        <v>1116</v>
      </c>
      <c r="G68" s="369">
        <v>3376</v>
      </c>
      <c r="H68" s="369">
        <v>1342</v>
      </c>
      <c r="I68" s="369">
        <v>1459</v>
      </c>
      <c r="J68" s="369">
        <v>1196</v>
      </c>
      <c r="K68" s="369">
        <v>1075</v>
      </c>
      <c r="L68" s="369">
        <v>1223</v>
      </c>
      <c r="M68" s="369">
        <v>1619</v>
      </c>
      <c r="N68" s="280">
        <f>'Feb 13(2)'!AF28</f>
        <v>1093</v>
      </c>
      <c r="O68" s="273">
        <f t="shared" si="0"/>
        <v>15878</v>
      </c>
    </row>
    <row r="69" spans="1:15" ht="18" customHeight="1">
      <c r="A69" s="559"/>
      <c r="B69" s="548"/>
      <c r="C69" s="257" t="s">
        <v>123</v>
      </c>
      <c r="D69" s="370">
        <v>7854</v>
      </c>
      <c r="E69" s="370">
        <v>4615</v>
      </c>
      <c r="F69" s="370">
        <v>1271</v>
      </c>
      <c r="G69" s="370">
        <v>1119</v>
      </c>
      <c r="H69" s="370">
        <v>406</v>
      </c>
      <c r="I69" s="370">
        <v>1212</v>
      </c>
      <c r="J69" s="370">
        <v>10530</v>
      </c>
      <c r="K69" s="370">
        <v>419</v>
      </c>
      <c r="L69" s="370">
        <v>10389</v>
      </c>
      <c r="M69" s="370">
        <v>4239</v>
      </c>
      <c r="N69" s="261">
        <f>'Feb 13(2)'!T28</f>
        <v>2406</v>
      </c>
      <c r="O69" s="274">
        <f t="shared" si="0"/>
        <v>44460</v>
      </c>
    </row>
    <row r="70" spans="1:15" ht="18" customHeight="1" thickBot="1">
      <c r="A70" s="560"/>
      <c r="B70" s="549"/>
      <c r="C70" s="275" t="s">
        <v>124</v>
      </c>
      <c r="D70" s="371">
        <v>-6792</v>
      </c>
      <c r="E70" s="371">
        <v>-3298</v>
      </c>
      <c r="F70" s="371">
        <v>-155</v>
      </c>
      <c r="G70" s="371">
        <v>2257</v>
      </c>
      <c r="H70" s="371">
        <v>936</v>
      </c>
      <c r="I70" s="371">
        <v>247</v>
      </c>
      <c r="J70" s="371">
        <v>-9334</v>
      </c>
      <c r="K70" s="371">
        <v>656</v>
      </c>
      <c r="L70" s="371">
        <v>-9166</v>
      </c>
      <c r="M70" s="371">
        <v>-2620</v>
      </c>
      <c r="N70" s="276">
        <f>N68-N69</f>
        <v>-1313</v>
      </c>
      <c r="O70" s="277">
        <f aca="true" t="shared" si="1" ref="O70:O85">SUM(D70:N70)</f>
        <v>-28582</v>
      </c>
    </row>
    <row r="71" spans="1:15" ht="18" customHeight="1">
      <c r="A71" s="558">
        <v>23</v>
      </c>
      <c r="B71" s="547" t="s">
        <v>8</v>
      </c>
      <c r="C71" s="271" t="s">
        <v>122</v>
      </c>
      <c r="D71" s="369">
        <v>285</v>
      </c>
      <c r="E71" s="369">
        <v>300</v>
      </c>
      <c r="F71" s="369">
        <v>358</v>
      </c>
      <c r="G71" s="369">
        <v>494</v>
      </c>
      <c r="H71" s="369">
        <v>1664</v>
      </c>
      <c r="I71" s="369">
        <v>742</v>
      </c>
      <c r="J71" s="369">
        <v>542</v>
      </c>
      <c r="K71" s="369">
        <v>270</v>
      </c>
      <c r="L71" s="369">
        <v>564</v>
      </c>
      <c r="M71" s="369">
        <v>394</v>
      </c>
      <c r="N71" s="280">
        <f>'Feb 13(2)'!AF29</f>
        <v>552</v>
      </c>
      <c r="O71" s="273">
        <f t="shared" si="1"/>
        <v>6165</v>
      </c>
    </row>
    <row r="72" spans="1:15" ht="18" customHeight="1">
      <c r="A72" s="559"/>
      <c r="B72" s="548"/>
      <c r="C72" s="257" t="s">
        <v>123</v>
      </c>
      <c r="D72" s="370">
        <v>262</v>
      </c>
      <c r="E72" s="370">
        <v>1368</v>
      </c>
      <c r="F72" s="370">
        <v>496</v>
      </c>
      <c r="G72" s="370">
        <v>176</v>
      </c>
      <c r="H72" s="370">
        <v>885</v>
      </c>
      <c r="I72" s="370">
        <v>298</v>
      </c>
      <c r="J72" s="370">
        <v>401</v>
      </c>
      <c r="K72" s="370">
        <v>466</v>
      </c>
      <c r="L72" s="370">
        <v>2751</v>
      </c>
      <c r="M72" s="370">
        <v>7105</v>
      </c>
      <c r="N72" s="261">
        <f>'Feb 13(2)'!T29</f>
        <v>809</v>
      </c>
      <c r="O72" s="274">
        <f t="shared" si="1"/>
        <v>15017</v>
      </c>
    </row>
    <row r="73" spans="1:17" ht="18" customHeight="1" thickBot="1">
      <c r="A73" s="560"/>
      <c r="B73" s="549"/>
      <c r="C73" s="275" t="s">
        <v>124</v>
      </c>
      <c r="D73" s="371">
        <v>23</v>
      </c>
      <c r="E73" s="371">
        <v>-1068</v>
      </c>
      <c r="F73" s="371">
        <v>-138</v>
      </c>
      <c r="G73" s="371">
        <v>318</v>
      </c>
      <c r="H73" s="371">
        <v>779</v>
      </c>
      <c r="I73" s="371">
        <v>444</v>
      </c>
      <c r="J73" s="371">
        <v>141</v>
      </c>
      <c r="K73" s="371">
        <v>-196</v>
      </c>
      <c r="L73" s="371">
        <v>-2187</v>
      </c>
      <c r="M73" s="371">
        <v>-6711</v>
      </c>
      <c r="N73" s="276">
        <f>N71-N72</f>
        <v>-257</v>
      </c>
      <c r="O73" s="277">
        <f t="shared" si="1"/>
        <v>-8852</v>
      </c>
      <c r="Q73" s="264"/>
    </row>
    <row r="74" spans="1:17" ht="18" customHeight="1">
      <c r="A74" s="558">
        <v>24</v>
      </c>
      <c r="B74" s="547" t="s">
        <v>40</v>
      </c>
      <c r="C74" s="271" t="s">
        <v>122</v>
      </c>
      <c r="D74" s="369">
        <v>14518</v>
      </c>
      <c r="E74" s="369">
        <v>397</v>
      </c>
      <c r="F74" s="369">
        <v>1255</v>
      </c>
      <c r="G74" s="369">
        <v>5660</v>
      </c>
      <c r="H74" s="369">
        <v>415</v>
      </c>
      <c r="I74" s="369">
        <v>4379</v>
      </c>
      <c r="J74" s="369">
        <v>4225</v>
      </c>
      <c r="K74" s="369">
        <v>4284</v>
      </c>
      <c r="L74" s="369">
        <v>4253</v>
      </c>
      <c r="M74" s="369">
        <v>4142</v>
      </c>
      <c r="N74" s="280">
        <f>'Feb 13(2)'!AF30</f>
        <v>3127</v>
      </c>
      <c r="O74" s="273">
        <f t="shared" si="1"/>
        <v>46655</v>
      </c>
      <c r="Q74" s="264"/>
    </row>
    <row r="75" spans="1:17" ht="18" customHeight="1">
      <c r="A75" s="559"/>
      <c r="B75" s="548"/>
      <c r="C75" s="257" t="s">
        <v>123</v>
      </c>
      <c r="D75" s="370">
        <v>4140</v>
      </c>
      <c r="E75" s="370">
        <v>103</v>
      </c>
      <c r="F75" s="370">
        <v>19058</v>
      </c>
      <c r="G75" s="370">
        <v>5347</v>
      </c>
      <c r="H75" s="370">
        <v>2820</v>
      </c>
      <c r="I75" s="370">
        <v>4157</v>
      </c>
      <c r="J75" s="370">
        <v>4157</v>
      </c>
      <c r="K75" s="370">
        <v>4157</v>
      </c>
      <c r="L75" s="370">
        <v>4157</v>
      </c>
      <c r="M75" s="370">
        <v>4157</v>
      </c>
      <c r="N75" s="261">
        <f>'Feb 13(2)'!T30</f>
        <v>4157</v>
      </c>
      <c r="O75" s="274">
        <f t="shared" si="1"/>
        <v>56410</v>
      </c>
      <c r="Q75" s="264"/>
    </row>
    <row r="76" spans="1:17" ht="18" customHeight="1" thickBot="1">
      <c r="A76" s="560"/>
      <c r="B76" s="549"/>
      <c r="C76" s="275" t="s">
        <v>124</v>
      </c>
      <c r="D76" s="371">
        <v>10378</v>
      </c>
      <c r="E76" s="371">
        <v>294</v>
      </c>
      <c r="F76" s="371">
        <v>-17803</v>
      </c>
      <c r="G76" s="371">
        <v>313</v>
      </c>
      <c r="H76" s="371">
        <v>-2405</v>
      </c>
      <c r="I76" s="371">
        <v>222</v>
      </c>
      <c r="J76" s="371">
        <v>68</v>
      </c>
      <c r="K76" s="371">
        <v>127</v>
      </c>
      <c r="L76" s="371">
        <v>96</v>
      </c>
      <c r="M76" s="371">
        <v>-15</v>
      </c>
      <c r="N76" s="276">
        <f>N74-N75</f>
        <v>-1030</v>
      </c>
      <c r="O76" s="277">
        <f t="shared" si="1"/>
        <v>-9755</v>
      </c>
      <c r="Q76" s="264"/>
    </row>
    <row r="77" spans="1:17" ht="18" customHeight="1">
      <c r="A77" s="558">
        <v>25</v>
      </c>
      <c r="B77" s="547" t="s">
        <v>9</v>
      </c>
      <c r="C77" s="271" t="s">
        <v>122</v>
      </c>
      <c r="D77" s="369">
        <v>321</v>
      </c>
      <c r="E77" s="369">
        <v>264</v>
      </c>
      <c r="F77" s="369">
        <v>226</v>
      </c>
      <c r="G77" s="369">
        <v>561</v>
      </c>
      <c r="H77" s="369">
        <v>202</v>
      </c>
      <c r="I77" s="369">
        <v>190</v>
      </c>
      <c r="J77" s="369">
        <v>181</v>
      </c>
      <c r="K77" s="369">
        <v>189</v>
      </c>
      <c r="L77" s="369">
        <v>173</v>
      </c>
      <c r="M77" s="369">
        <v>143</v>
      </c>
      <c r="N77" s="280">
        <f>'Feb 13(2)'!AF31</f>
        <v>111</v>
      </c>
      <c r="O77" s="273">
        <f t="shared" si="1"/>
        <v>2561</v>
      </c>
      <c r="Q77" s="264"/>
    </row>
    <row r="78" spans="1:17" ht="18" customHeight="1">
      <c r="A78" s="559"/>
      <c r="B78" s="548"/>
      <c r="C78" s="257" t="s">
        <v>123</v>
      </c>
      <c r="D78" s="370">
        <v>352</v>
      </c>
      <c r="E78" s="370">
        <v>414</v>
      </c>
      <c r="F78" s="370">
        <v>5146</v>
      </c>
      <c r="G78" s="370">
        <v>548</v>
      </c>
      <c r="H78" s="370">
        <v>383</v>
      </c>
      <c r="I78" s="370">
        <v>327</v>
      </c>
      <c r="J78" s="370">
        <v>2566</v>
      </c>
      <c r="K78" s="370">
        <v>243</v>
      </c>
      <c r="L78" s="370">
        <v>387</v>
      </c>
      <c r="M78" s="370">
        <v>4220</v>
      </c>
      <c r="N78" s="261">
        <f>'Feb 13(2)'!T31</f>
        <v>195</v>
      </c>
      <c r="O78" s="274">
        <f t="shared" si="1"/>
        <v>14781</v>
      </c>
      <c r="Q78" s="264"/>
    </row>
    <row r="79" spans="1:17" ht="18" customHeight="1" thickBot="1">
      <c r="A79" s="560"/>
      <c r="B79" s="549"/>
      <c r="C79" s="275" t="s">
        <v>124</v>
      </c>
      <c r="D79" s="371">
        <v>-31</v>
      </c>
      <c r="E79" s="371">
        <v>-150</v>
      </c>
      <c r="F79" s="371">
        <v>-4920</v>
      </c>
      <c r="G79" s="371">
        <v>13</v>
      </c>
      <c r="H79" s="371">
        <v>-181</v>
      </c>
      <c r="I79" s="371">
        <v>-137</v>
      </c>
      <c r="J79" s="371">
        <v>-2385</v>
      </c>
      <c r="K79" s="371">
        <v>-54</v>
      </c>
      <c r="L79" s="371">
        <v>-214</v>
      </c>
      <c r="M79" s="371">
        <v>-4077</v>
      </c>
      <c r="N79" s="276">
        <f>N77-N78</f>
        <v>-84</v>
      </c>
      <c r="O79" s="277">
        <f t="shared" si="1"/>
        <v>-12220</v>
      </c>
      <c r="Q79" s="264"/>
    </row>
    <row r="80" spans="1:17" ht="18" customHeight="1">
      <c r="A80" s="558">
        <v>26</v>
      </c>
      <c r="B80" s="547" t="s">
        <v>10</v>
      </c>
      <c r="C80" s="271" t="s">
        <v>122</v>
      </c>
      <c r="D80" s="369">
        <v>174</v>
      </c>
      <c r="E80" s="369">
        <v>190</v>
      </c>
      <c r="F80" s="369">
        <v>204</v>
      </c>
      <c r="G80" s="369">
        <v>283</v>
      </c>
      <c r="H80" s="369">
        <v>312</v>
      </c>
      <c r="I80" s="369">
        <v>260</v>
      </c>
      <c r="J80" s="369">
        <v>194</v>
      </c>
      <c r="K80" s="369">
        <v>189</v>
      </c>
      <c r="L80" s="369">
        <v>221</v>
      </c>
      <c r="M80" s="369">
        <v>186</v>
      </c>
      <c r="N80" s="280">
        <f>'Feb 13(2)'!AF32</f>
        <v>202</v>
      </c>
      <c r="O80" s="273">
        <f t="shared" si="1"/>
        <v>2415</v>
      </c>
      <c r="Q80" s="354"/>
    </row>
    <row r="81" spans="1:17" ht="18" customHeight="1">
      <c r="A81" s="559"/>
      <c r="B81" s="548"/>
      <c r="C81" s="257" t="s">
        <v>123</v>
      </c>
      <c r="D81" s="370">
        <v>784</v>
      </c>
      <c r="E81" s="370">
        <v>673</v>
      </c>
      <c r="F81" s="370">
        <v>2305</v>
      </c>
      <c r="G81" s="370">
        <v>365</v>
      </c>
      <c r="H81" s="370">
        <v>1242</v>
      </c>
      <c r="I81" s="370">
        <v>231</v>
      </c>
      <c r="J81" s="370">
        <v>615</v>
      </c>
      <c r="K81" s="370">
        <v>1386</v>
      </c>
      <c r="L81" s="370">
        <v>184</v>
      </c>
      <c r="M81" s="370">
        <v>188</v>
      </c>
      <c r="N81" s="261">
        <f>'Feb 13(2)'!T32</f>
        <v>990</v>
      </c>
      <c r="O81" s="274">
        <f t="shared" si="1"/>
        <v>8963</v>
      </c>
      <c r="Q81" s="264"/>
    </row>
    <row r="82" spans="1:15" ht="18" customHeight="1" thickBot="1">
      <c r="A82" s="560"/>
      <c r="B82" s="549"/>
      <c r="C82" s="275" t="s">
        <v>124</v>
      </c>
      <c r="D82" s="371">
        <v>-610</v>
      </c>
      <c r="E82" s="371">
        <v>-483</v>
      </c>
      <c r="F82" s="371">
        <v>-2101</v>
      </c>
      <c r="G82" s="371">
        <v>-82</v>
      </c>
      <c r="H82" s="371">
        <v>-930</v>
      </c>
      <c r="I82" s="371">
        <v>29</v>
      </c>
      <c r="J82" s="371">
        <v>-421</v>
      </c>
      <c r="K82" s="371">
        <v>-1197</v>
      </c>
      <c r="L82" s="371">
        <v>37</v>
      </c>
      <c r="M82" s="371">
        <v>-2</v>
      </c>
      <c r="N82" s="276">
        <f>N80-N81</f>
        <v>-788</v>
      </c>
      <c r="O82" s="277">
        <f t="shared" si="1"/>
        <v>-6548</v>
      </c>
    </row>
    <row r="83" spans="1:15" s="265" customFormat="1" ht="18" customHeight="1">
      <c r="A83" s="566"/>
      <c r="B83" s="550" t="s">
        <v>11</v>
      </c>
      <c r="C83" s="271" t="s">
        <v>122</v>
      </c>
      <c r="D83" s="369">
        <v>34548</v>
      </c>
      <c r="E83" s="369">
        <v>61406</v>
      </c>
      <c r="F83" s="369">
        <v>34693</v>
      </c>
      <c r="G83" s="369">
        <v>35362</v>
      </c>
      <c r="H83" s="369">
        <v>27846</v>
      </c>
      <c r="I83" s="369">
        <v>58608</v>
      </c>
      <c r="J83" s="369">
        <v>70107</v>
      </c>
      <c r="K83" s="369">
        <v>28431</v>
      </c>
      <c r="L83" s="369">
        <v>32678</v>
      </c>
      <c r="M83" s="369">
        <v>34937</v>
      </c>
      <c r="N83" s="272">
        <f>N5+N8+N11+N14+N17+N20+N23+N26+N29+N32+N35+N38+N41+N44+N47+N50+N53+N56+N59+N62+N65+N68+N71+N74+N77+N80</f>
        <v>25445</v>
      </c>
      <c r="O83" s="273">
        <f>SUM(D83:N83)</f>
        <v>444061</v>
      </c>
    </row>
    <row r="84" spans="1:15" s="265" customFormat="1" ht="18" customHeight="1">
      <c r="A84" s="567"/>
      <c r="B84" s="551"/>
      <c r="C84" s="257" t="s">
        <v>123</v>
      </c>
      <c r="D84" s="370">
        <v>393832</v>
      </c>
      <c r="E84" s="370">
        <v>120696</v>
      </c>
      <c r="F84" s="370">
        <v>130535</v>
      </c>
      <c r="G84" s="370">
        <v>245676</v>
      </c>
      <c r="H84" s="370">
        <v>118502</v>
      </c>
      <c r="I84" s="370">
        <v>120549</v>
      </c>
      <c r="J84" s="370">
        <v>151282</v>
      </c>
      <c r="K84" s="370">
        <v>78881</v>
      </c>
      <c r="L84" s="370">
        <v>198070</v>
      </c>
      <c r="M84" s="370">
        <v>84747</v>
      </c>
      <c r="N84" s="258">
        <f>N6+N9+N12+N15+N18+N21+N24+N27+N30+N33+N36+N39+N42+N45+N48+N51+N54+N57+N60+N63+N66+N69+N72+N75+N78+N81</f>
        <v>84043</v>
      </c>
      <c r="O84" s="274">
        <f t="shared" si="1"/>
        <v>1726813</v>
      </c>
    </row>
    <row r="85" spans="1:15" s="265" customFormat="1" ht="18" customHeight="1" thickBot="1">
      <c r="A85" s="568"/>
      <c r="B85" s="552"/>
      <c r="C85" s="275" t="s">
        <v>124</v>
      </c>
      <c r="D85" s="371">
        <v>-359284</v>
      </c>
      <c r="E85" s="371">
        <v>-59290</v>
      </c>
      <c r="F85" s="371">
        <v>-95842</v>
      </c>
      <c r="G85" s="371">
        <v>-210314</v>
      </c>
      <c r="H85" s="371">
        <v>-90656</v>
      </c>
      <c r="I85" s="371">
        <v>-61941</v>
      </c>
      <c r="J85" s="371">
        <v>-81175</v>
      </c>
      <c r="K85" s="371">
        <v>-50450</v>
      </c>
      <c r="L85" s="446">
        <v>-165392</v>
      </c>
      <c r="M85" s="446">
        <v>-49810</v>
      </c>
      <c r="N85" s="428">
        <f>N83-N84</f>
        <v>-58598</v>
      </c>
      <c r="O85" s="277">
        <f t="shared" si="1"/>
        <v>-1282752</v>
      </c>
    </row>
    <row r="86" spans="1:15" ht="15">
      <c r="A86" s="541" t="s">
        <v>149</v>
      </c>
      <c r="B86" s="542"/>
      <c r="C86" s="278" t="s">
        <v>122</v>
      </c>
      <c r="D86" s="404">
        <v>0.034548</v>
      </c>
      <c r="E86" s="404">
        <v>0.061406</v>
      </c>
      <c r="F86" s="404">
        <v>0.034693</v>
      </c>
      <c r="G86" s="404">
        <v>0.035362</v>
      </c>
      <c r="H86" s="404">
        <v>0.027846</v>
      </c>
      <c r="I86" s="404">
        <v>0.058608</v>
      </c>
      <c r="J86" s="404">
        <v>0.070107</v>
      </c>
      <c r="K86" s="404">
        <v>0.028431</v>
      </c>
      <c r="L86" s="404">
        <v>0.032678</v>
      </c>
      <c r="M86" s="404">
        <v>0.034937</v>
      </c>
      <c r="N86" s="296">
        <f aca="true" t="shared" si="2" ref="N86:O88">N83/1000000</f>
        <v>0.025445</v>
      </c>
      <c r="O86" s="297">
        <f>O83/1000000</f>
        <v>0.444061</v>
      </c>
    </row>
    <row r="87" spans="1:15" ht="15">
      <c r="A87" s="543"/>
      <c r="B87" s="544"/>
      <c r="C87" s="259" t="s">
        <v>123</v>
      </c>
      <c r="D87" s="406">
        <v>0.393832</v>
      </c>
      <c r="E87" s="406">
        <v>0.120696</v>
      </c>
      <c r="F87" s="406">
        <v>0.130535</v>
      </c>
      <c r="G87" s="406">
        <v>0.245676</v>
      </c>
      <c r="H87" s="406">
        <v>0.118502</v>
      </c>
      <c r="I87" s="406">
        <v>0.120549</v>
      </c>
      <c r="J87" s="406">
        <v>0.151282</v>
      </c>
      <c r="K87" s="406">
        <v>0.078881</v>
      </c>
      <c r="L87" s="406">
        <v>0.19807</v>
      </c>
      <c r="M87" s="406">
        <v>0.084747</v>
      </c>
      <c r="N87" s="184">
        <f t="shared" si="2"/>
        <v>0.084043</v>
      </c>
      <c r="O87" s="298">
        <f t="shared" si="2"/>
        <v>1.726813</v>
      </c>
    </row>
    <row r="88" spans="1:15" ht="15.75" thickBot="1">
      <c r="A88" s="545"/>
      <c r="B88" s="546"/>
      <c r="C88" s="279" t="s">
        <v>124</v>
      </c>
      <c r="D88" s="408">
        <v>-0.359284</v>
      </c>
      <c r="E88" s="408">
        <v>-0.05929</v>
      </c>
      <c r="F88" s="408">
        <v>-0.095842</v>
      </c>
      <c r="G88" s="408">
        <v>-0.210314</v>
      </c>
      <c r="H88" s="408">
        <v>-0.090656</v>
      </c>
      <c r="I88" s="408">
        <v>-0.061941</v>
      </c>
      <c r="J88" s="408">
        <v>-0.081175</v>
      </c>
      <c r="K88" s="408">
        <v>-0.05045</v>
      </c>
      <c r="L88" s="408">
        <v>-0.165392</v>
      </c>
      <c r="M88" s="408">
        <v>-0.04981</v>
      </c>
      <c r="N88" s="299">
        <f t="shared" si="2"/>
        <v>-0.058598</v>
      </c>
      <c r="O88" s="300">
        <f t="shared" si="2"/>
        <v>-1.282752</v>
      </c>
    </row>
    <row r="89" spans="1:15" ht="15">
      <c r="A89" s="134"/>
      <c r="N89" s="134"/>
      <c r="O89" s="134"/>
    </row>
    <row r="90" ht="15" customHeight="1"/>
    <row r="91" ht="15" customHeight="1"/>
    <row r="92" spans="14:15" ht="15" customHeight="1">
      <c r="N92" s="146"/>
      <c r="O92" s="263"/>
    </row>
    <row r="93" spans="14:15" ht="15" customHeight="1">
      <c r="N93" s="146"/>
      <c r="O93" s="263"/>
    </row>
    <row r="94" spans="2:15" ht="15" customHeight="1"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146"/>
      <c r="O94" s="263"/>
    </row>
    <row r="95" spans="2:15" ht="15"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O95" s="263"/>
    </row>
    <row r="96" spans="2:15" ht="15"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</row>
    <row r="97" spans="2:15" ht="15"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  <c r="O97" s="263"/>
    </row>
    <row r="98" spans="2:15" ht="15"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  <c r="O98" s="263"/>
    </row>
    <row r="99" spans="2:15" ht="15"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  <c r="O99" s="263"/>
    </row>
    <row r="100" spans="2:15" ht="15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  <c r="O100" s="263"/>
    </row>
    <row r="101" spans="14:15" ht="15">
      <c r="N101" s="263"/>
      <c r="O101" s="263"/>
    </row>
    <row r="104" spans="10:13" ht="15">
      <c r="J104" s="353"/>
      <c r="K104" s="353"/>
      <c r="L104" s="353"/>
      <c r="M104" s="353"/>
    </row>
  </sheetData>
  <sheetProtection/>
  <mergeCells count="55">
    <mergeCell ref="A53:A55"/>
    <mergeCell ref="A56:A58"/>
    <mergeCell ref="A77:A79"/>
    <mergeCell ref="A80:A82"/>
    <mergeCell ref="A59:A61"/>
    <mergeCell ref="A62:A64"/>
    <mergeCell ref="A65:A67"/>
    <mergeCell ref="A68:A70"/>
    <mergeCell ref="A71:A73"/>
    <mergeCell ref="A74:A76"/>
    <mergeCell ref="A41:A43"/>
    <mergeCell ref="A44:A46"/>
    <mergeCell ref="A47:A49"/>
    <mergeCell ref="A50:A52"/>
    <mergeCell ref="A29:A31"/>
    <mergeCell ref="A32:A34"/>
    <mergeCell ref="A35:A37"/>
    <mergeCell ref="A38:A40"/>
    <mergeCell ref="A17:A19"/>
    <mergeCell ref="A20:A22"/>
    <mergeCell ref="A23:A25"/>
    <mergeCell ref="A26:A28"/>
    <mergeCell ref="A5:A7"/>
    <mergeCell ref="A8:A10"/>
    <mergeCell ref="A11:A13"/>
    <mergeCell ref="A14:A16"/>
    <mergeCell ref="B35:B37"/>
    <mergeCell ref="B38:B40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71:B73"/>
    <mergeCell ref="B74:B76"/>
    <mergeCell ref="B41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0"/>
    <mergeCell ref="A86:B88"/>
    <mergeCell ref="B77:B79"/>
    <mergeCell ref="B80:B82"/>
    <mergeCell ref="B83:B85"/>
    <mergeCell ref="A83:A85"/>
  </mergeCells>
  <conditionalFormatting sqref="W5:W82">
    <cfRule type="top10" priority="3" dxfId="3" stopIfTrue="1" rank="5" bottom="1"/>
    <cfRule type="top10" priority="4" dxfId="0" stopIfTrue="1" rank="5"/>
  </conditionalFormatting>
  <conditionalFormatting sqref="T5:T82">
    <cfRule type="top10" priority="1" dxfId="1" stopIfTrue="1" rank="10"/>
    <cfRule type="top10" priority="2" dxfId="0" stopIfTrue="1" rank="5"/>
  </conditionalFormatting>
  <printOptions/>
  <pageMargins left="0.5118110236220472" right="0.11811023622047245" top="0.5905511811023623" bottom="0.1968503937007874" header="0.31496062992125984" footer="0.31496062992125984"/>
  <pageSetup horizontalDpi="600" verticalDpi="600" orientation="portrait" paperSize="9" scale="80" r:id="rId1"/>
  <rowBreaks count="1" manualBreakCount="1"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sdecomputer</cp:lastModifiedBy>
  <cp:lastPrinted>2013-04-01T06:14:36Z</cp:lastPrinted>
  <dcterms:created xsi:type="dcterms:W3CDTF">1996-10-14T23:33:28Z</dcterms:created>
  <dcterms:modified xsi:type="dcterms:W3CDTF">2013-04-02T11:27:45Z</dcterms:modified>
  <cp:category/>
  <cp:version/>
  <cp:contentType/>
  <cp:contentStatus/>
</cp:coreProperties>
</file>